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osman.senay\Desktop\"/>
    </mc:Choice>
  </mc:AlternateContent>
  <xr:revisionPtr revIDLastSave="0" documentId="13_ncr:1_{F5D62EFC-F675-4C42-896E-630FE36E57D1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Normal" sheetId="1" r:id="rId1"/>
    <sheet name="Emekli" sheetId="2" r:id="rId2"/>
    <sheet name="Diğer Ücretli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5" i="1" l="1"/>
  <c r="P13" i="3"/>
  <c r="P12" i="3"/>
  <c r="O12" i="3"/>
  <c r="N12" i="3"/>
  <c r="S9" i="3"/>
  <c r="R9" i="3"/>
  <c r="Q9" i="3"/>
  <c r="P9" i="3"/>
  <c r="O9" i="3"/>
  <c r="N9" i="3"/>
  <c r="M9" i="3"/>
  <c r="J9" i="3"/>
  <c r="L9" i="3"/>
  <c r="K9" i="3"/>
  <c r="E22" i="3"/>
  <c r="B22" i="3"/>
  <c r="Q17" i="3"/>
  <c r="S14" i="3"/>
  <c r="R14" i="3"/>
  <c r="Q14" i="3"/>
  <c r="P14" i="3"/>
  <c r="O14" i="3"/>
  <c r="N14" i="3"/>
  <c r="M14" i="3"/>
  <c r="L14" i="3"/>
  <c r="K14" i="3"/>
  <c r="J14" i="3"/>
  <c r="I14" i="3"/>
  <c r="H14" i="3"/>
  <c r="S12" i="3"/>
  <c r="R12" i="3"/>
  <c r="Q12" i="3"/>
  <c r="M12" i="3"/>
  <c r="L12" i="3"/>
  <c r="K12" i="3"/>
  <c r="J12" i="3"/>
  <c r="I12" i="3"/>
  <c r="H12" i="3"/>
  <c r="J11" i="3"/>
  <c r="K11" i="3" s="1"/>
  <c r="L11" i="3" s="1"/>
  <c r="M11" i="3" s="1"/>
  <c r="N11" i="3" s="1"/>
  <c r="I11" i="3"/>
  <c r="H11" i="3"/>
  <c r="U10" i="3"/>
  <c r="Q5" i="3"/>
  <c r="I5" i="3"/>
  <c r="E4" i="3"/>
  <c r="E25" i="3" s="1"/>
  <c r="B4" i="3"/>
  <c r="B25" i="3" s="1"/>
  <c r="S3" i="3"/>
  <c r="S18" i="3" s="1"/>
  <c r="R3" i="3"/>
  <c r="R18" i="3" s="1"/>
  <c r="Q3" i="3"/>
  <c r="Q20" i="3" s="1"/>
  <c r="P3" i="3"/>
  <c r="P17" i="3" s="1"/>
  <c r="O3" i="3"/>
  <c r="O4" i="3" s="1"/>
  <c r="N3" i="3"/>
  <c r="N4" i="3" s="1"/>
  <c r="M3" i="3"/>
  <c r="M4" i="3" s="1"/>
  <c r="L3" i="3"/>
  <c r="L4" i="3" s="1"/>
  <c r="K3" i="3"/>
  <c r="K18" i="3" s="1"/>
  <c r="J3" i="3"/>
  <c r="J18" i="3" s="1"/>
  <c r="I3" i="3"/>
  <c r="I20" i="3" s="1"/>
  <c r="H3" i="3"/>
  <c r="H17" i="3" s="1"/>
  <c r="E3" i="3"/>
  <c r="E5" i="3" s="1"/>
  <c r="B3" i="3"/>
  <c r="B5" i="3" s="1"/>
  <c r="U2" i="3"/>
  <c r="E22" i="2"/>
  <c r="B22" i="2"/>
  <c r="S15" i="2"/>
  <c r="S16" i="2" s="1"/>
  <c r="Q15" i="2"/>
  <c r="Q16" i="2" s="1"/>
  <c r="M15" i="2"/>
  <c r="M16" i="2" s="1"/>
  <c r="K15" i="2"/>
  <c r="K16" i="2" s="1"/>
  <c r="I15" i="2"/>
  <c r="I16" i="2" s="1"/>
  <c r="S12" i="2"/>
  <c r="R12" i="2"/>
  <c r="Q12" i="2"/>
  <c r="P12" i="2"/>
  <c r="O12" i="2"/>
  <c r="N12" i="2"/>
  <c r="M12" i="2"/>
  <c r="L12" i="2"/>
  <c r="K12" i="2"/>
  <c r="U12" i="2" s="1"/>
  <c r="J12" i="2"/>
  <c r="I12" i="2"/>
  <c r="H12" i="2"/>
  <c r="S10" i="2"/>
  <c r="R10" i="2"/>
  <c r="Q10" i="2"/>
  <c r="P10" i="2"/>
  <c r="N10" i="2"/>
  <c r="M10" i="2"/>
  <c r="L10" i="2"/>
  <c r="K10" i="2"/>
  <c r="J10" i="2"/>
  <c r="I10" i="2"/>
  <c r="H10" i="2"/>
  <c r="I9" i="2"/>
  <c r="J9" i="2" s="1"/>
  <c r="K9" i="2" s="1"/>
  <c r="L9" i="2" s="1"/>
  <c r="M9" i="2" s="1"/>
  <c r="N9" i="2" s="1"/>
  <c r="H9" i="2"/>
  <c r="U8" i="2"/>
  <c r="L5" i="2"/>
  <c r="L7" i="2" s="1"/>
  <c r="L11" i="2" s="1"/>
  <c r="S4" i="2"/>
  <c r="Q4" i="2"/>
  <c r="O4" i="2"/>
  <c r="O5" i="2" s="1"/>
  <c r="O7" i="2" s="1"/>
  <c r="L4" i="2"/>
  <c r="L13" i="2" s="1"/>
  <c r="K4" i="2"/>
  <c r="I4" i="2"/>
  <c r="E4" i="2"/>
  <c r="E24" i="2" s="1"/>
  <c r="B4" i="2"/>
  <c r="B25" i="2" s="1"/>
  <c r="S3" i="2"/>
  <c r="R3" i="2"/>
  <c r="R4" i="2" s="1"/>
  <c r="Q3" i="2"/>
  <c r="P3" i="2"/>
  <c r="P15" i="2" s="1"/>
  <c r="P16" i="2" s="1"/>
  <c r="O3" i="2"/>
  <c r="O15" i="2" s="1"/>
  <c r="O16" i="2" s="1"/>
  <c r="N3" i="2"/>
  <c r="N4" i="2" s="1"/>
  <c r="M3" i="2"/>
  <c r="M4" i="2" s="1"/>
  <c r="L3" i="2"/>
  <c r="L15" i="2" s="1"/>
  <c r="L16" i="2" s="1"/>
  <c r="K3" i="2"/>
  <c r="J3" i="2"/>
  <c r="J4" i="2" s="1"/>
  <c r="I3" i="2"/>
  <c r="H3" i="2"/>
  <c r="H15" i="2" s="1"/>
  <c r="E3" i="2"/>
  <c r="E5" i="2" s="1"/>
  <c r="B3" i="2"/>
  <c r="B5" i="2" s="1"/>
  <c r="U2" i="2"/>
  <c r="B24" i="1"/>
  <c r="B23" i="1"/>
  <c r="E22" i="1"/>
  <c r="B22" i="1"/>
  <c r="S20" i="1"/>
  <c r="R20" i="1"/>
  <c r="M20" i="1"/>
  <c r="L20" i="1"/>
  <c r="K20" i="1"/>
  <c r="J20" i="1"/>
  <c r="S18" i="1"/>
  <c r="M18" i="1"/>
  <c r="L18" i="1"/>
  <c r="K18" i="1"/>
  <c r="S17" i="1"/>
  <c r="S19" i="1" s="1"/>
  <c r="S21" i="1" s="1"/>
  <c r="R17" i="1"/>
  <c r="M17" i="1"/>
  <c r="L17" i="1"/>
  <c r="K17" i="1"/>
  <c r="K19" i="1" s="1"/>
  <c r="J17" i="1"/>
  <c r="H17" i="1"/>
  <c r="S14" i="1"/>
  <c r="R14" i="1"/>
  <c r="Q14" i="1"/>
  <c r="P14" i="1"/>
  <c r="O14" i="1"/>
  <c r="N14" i="1"/>
  <c r="M14" i="1"/>
  <c r="L14" i="1"/>
  <c r="K14" i="1"/>
  <c r="J14" i="1"/>
  <c r="U14" i="1" s="1"/>
  <c r="I14" i="1"/>
  <c r="H14" i="1"/>
  <c r="S12" i="1"/>
  <c r="R12" i="1"/>
  <c r="Q12" i="1"/>
  <c r="P12" i="1"/>
  <c r="N12" i="1"/>
  <c r="M12" i="1"/>
  <c r="L12" i="1"/>
  <c r="K12" i="1"/>
  <c r="J12" i="1"/>
  <c r="I12" i="1"/>
  <c r="H12" i="1"/>
  <c r="I11" i="1"/>
  <c r="J11" i="1" s="1"/>
  <c r="K11" i="1" s="1"/>
  <c r="L11" i="1" s="1"/>
  <c r="M11" i="1" s="1"/>
  <c r="N11" i="1" s="1"/>
  <c r="H11" i="1"/>
  <c r="U10" i="1"/>
  <c r="M6" i="1"/>
  <c r="M7" i="1" s="1"/>
  <c r="M9" i="1" s="1"/>
  <c r="M13" i="1" s="1"/>
  <c r="L6" i="1"/>
  <c r="K6" i="1"/>
  <c r="S5" i="1"/>
  <c r="S6" i="1" s="1"/>
  <c r="R5" i="1"/>
  <c r="P5" i="1"/>
  <c r="M5" i="1"/>
  <c r="L5" i="1"/>
  <c r="K5" i="1"/>
  <c r="J5" i="1"/>
  <c r="H5" i="1"/>
  <c r="S4" i="1"/>
  <c r="R4" i="1"/>
  <c r="P4" i="1"/>
  <c r="P6" i="1" s="1"/>
  <c r="P7" i="1" s="1"/>
  <c r="P9" i="1" s="1"/>
  <c r="P13" i="1" s="1"/>
  <c r="P15" i="1" s="1"/>
  <c r="O4" i="1"/>
  <c r="M4" i="1"/>
  <c r="L4" i="1"/>
  <c r="K4" i="1"/>
  <c r="J4" i="1"/>
  <c r="H4" i="1"/>
  <c r="E4" i="1"/>
  <c r="B4" i="1"/>
  <c r="B25" i="1" s="1"/>
  <c r="S3" i="1"/>
  <c r="R3" i="1"/>
  <c r="R18" i="1" s="1"/>
  <c r="Q3" i="1"/>
  <c r="Q18" i="1" s="1"/>
  <c r="P3" i="1"/>
  <c r="O3" i="1"/>
  <c r="N3" i="1"/>
  <c r="M3" i="1"/>
  <c r="L3" i="1"/>
  <c r="K3" i="1"/>
  <c r="J3" i="1"/>
  <c r="J18" i="1" s="1"/>
  <c r="I3" i="1"/>
  <c r="I18" i="1" s="1"/>
  <c r="H3" i="1"/>
  <c r="E3" i="1"/>
  <c r="E5" i="1" s="1"/>
  <c r="B3" i="1"/>
  <c r="B5" i="1" s="1"/>
  <c r="U2" i="1"/>
  <c r="R17" i="3" l="1"/>
  <c r="R5" i="3"/>
  <c r="M18" i="3"/>
  <c r="J17" i="3"/>
  <c r="J19" i="3" s="1"/>
  <c r="I4" i="3"/>
  <c r="I6" i="3" s="1"/>
  <c r="K20" i="3"/>
  <c r="K4" i="3"/>
  <c r="S20" i="3"/>
  <c r="Q4" i="3"/>
  <c r="Q6" i="3" s="1"/>
  <c r="J5" i="3"/>
  <c r="S4" i="3"/>
  <c r="I17" i="3"/>
  <c r="I19" i="3" s="1"/>
  <c r="I21" i="3" s="1"/>
  <c r="U14" i="3"/>
  <c r="R19" i="3"/>
  <c r="R21" i="3" s="1"/>
  <c r="Q7" i="3"/>
  <c r="Q13" i="3" s="1"/>
  <c r="Q15" i="3" s="1"/>
  <c r="O11" i="3"/>
  <c r="P11" i="3" s="1"/>
  <c r="Q11" i="3" s="1"/>
  <c r="R11" i="3" s="1"/>
  <c r="S11" i="3" s="1"/>
  <c r="H4" i="3"/>
  <c r="P4" i="3"/>
  <c r="P6" i="3" s="1"/>
  <c r="L18" i="3"/>
  <c r="J20" i="3"/>
  <c r="R20" i="3"/>
  <c r="J4" i="3"/>
  <c r="J6" i="3" s="1"/>
  <c r="R4" i="3"/>
  <c r="R6" i="3" s="1"/>
  <c r="K5" i="3"/>
  <c r="K6" i="3" s="1"/>
  <c r="S5" i="3"/>
  <c r="S6" i="3" s="1"/>
  <c r="K17" i="3"/>
  <c r="K19" i="3" s="1"/>
  <c r="K21" i="3" s="1"/>
  <c r="S17" i="3"/>
  <c r="S19" i="3" s="1"/>
  <c r="N18" i="3"/>
  <c r="L20" i="3"/>
  <c r="B23" i="3"/>
  <c r="L5" i="3"/>
  <c r="L6" i="3" s="1"/>
  <c r="L17" i="3"/>
  <c r="O18" i="3"/>
  <c r="M20" i="3"/>
  <c r="E23" i="3"/>
  <c r="M5" i="3"/>
  <c r="M6" i="3" s="1"/>
  <c r="M17" i="3"/>
  <c r="M19" i="3" s="1"/>
  <c r="H18" i="3"/>
  <c r="H19" i="3" s="1"/>
  <c r="P18" i="3"/>
  <c r="P19" i="3" s="1"/>
  <c r="N20" i="3"/>
  <c r="B24" i="3"/>
  <c r="U3" i="3"/>
  <c r="N5" i="3"/>
  <c r="N6" i="3" s="1"/>
  <c r="N17" i="3"/>
  <c r="N19" i="3" s="1"/>
  <c r="I18" i="3"/>
  <c r="Q18" i="3"/>
  <c r="Q19" i="3" s="1"/>
  <c r="Q21" i="3" s="1"/>
  <c r="O20" i="3"/>
  <c r="E24" i="3"/>
  <c r="O5" i="3"/>
  <c r="O6" i="3" s="1"/>
  <c r="O17" i="3"/>
  <c r="O19" i="3" s="1"/>
  <c r="H20" i="3"/>
  <c r="P20" i="3"/>
  <c r="H5" i="3"/>
  <c r="P5" i="3"/>
  <c r="H16" i="2"/>
  <c r="N5" i="2"/>
  <c r="J13" i="2"/>
  <c r="J5" i="2"/>
  <c r="J7" i="2" s="1"/>
  <c r="J11" i="2" s="1"/>
  <c r="O9" i="2"/>
  <c r="P9" i="2" s="1"/>
  <c r="Q9" i="2" s="1"/>
  <c r="R9" i="2" s="1"/>
  <c r="S9" i="2" s="1"/>
  <c r="R5" i="2"/>
  <c r="R7" i="2" s="1"/>
  <c r="R11" i="2" s="1"/>
  <c r="R13" i="2" s="1"/>
  <c r="M5" i="2"/>
  <c r="M7" i="2" s="1"/>
  <c r="M11" i="2" s="1"/>
  <c r="M13" i="2" s="1"/>
  <c r="H4" i="2"/>
  <c r="P4" i="2"/>
  <c r="I5" i="2"/>
  <c r="I7" i="2" s="1"/>
  <c r="I11" i="2" s="1"/>
  <c r="I13" i="2" s="1"/>
  <c r="Q5" i="2"/>
  <c r="Q7" i="2" s="1"/>
  <c r="Q11" i="2" s="1"/>
  <c r="Q13" i="2" s="1"/>
  <c r="J15" i="2"/>
  <c r="J16" i="2" s="1"/>
  <c r="R15" i="2"/>
  <c r="R16" i="2" s="1"/>
  <c r="E25" i="2"/>
  <c r="K5" i="2"/>
  <c r="K7" i="2" s="1"/>
  <c r="K11" i="2" s="1"/>
  <c r="K13" i="2" s="1"/>
  <c r="S5" i="2"/>
  <c r="S7" i="2" s="1"/>
  <c r="S11" i="2" s="1"/>
  <c r="S13" i="2" s="1"/>
  <c r="B23" i="2"/>
  <c r="E23" i="2"/>
  <c r="N15" i="2"/>
  <c r="N16" i="2" s="1"/>
  <c r="B24" i="2"/>
  <c r="U3" i="2"/>
  <c r="O11" i="1"/>
  <c r="P11" i="1" s="1"/>
  <c r="Q11" i="1" s="1"/>
  <c r="R11" i="1" s="1"/>
  <c r="S11" i="1" s="1"/>
  <c r="S7" i="1"/>
  <c r="S9" i="1" s="1"/>
  <c r="S13" i="1" s="1"/>
  <c r="S15" i="1" s="1"/>
  <c r="Q17" i="1"/>
  <c r="Q19" i="1" s="1"/>
  <c r="U17" i="1"/>
  <c r="R19" i="1"/>
  <c r="R21" i="1" s="1"/>
  <c r="K15" i="1"/>
  <c r="K7" i="1"/>
  <c r="K9" i="1" s="1"/>
  <c r="K13" i="1" s="1"/>
  <c r="I17" i="1"/>
  <c r="I19" i="1" s="1"/>
  <c r="O6" i="1"/>
  <c r="L7" i="1"/>
  <c r="L9" i="1" s="1"/>
  <c r="L13" i="1" s="1"/>
  <c r="L15" i="1" s="1"/>
  <c r="J19" i="1"/>
  <c r="J21" i="1" s="1"/>
  <c r="N4" i="1"/>
  <c r="N6" i="1" s="1"/>
  <c r="N17" i="1"/>
  <c r="N5" i="1"/>
  <c r="N20" i="1"/>
  <c r="H6" i="1"/>
  <c r="Q4" i="1"/>
  <c r="Q6" i="1" s="1"/>
  <c r="M15" i="1"/>
  <c r="L19" i="1"/>
  <c r="L21" i="1" s="1"/>
  <c r="R6" i="1"/>
  <c r="M19" i="1"/>
  <c r="M21" i="1" s="1"/>
  <c r="I5" i="1"/>
  <c r="U5" i="1" s="1"/>
  <c r="E24" i="1"/>
  <c r="E23" i="1"/>
  <c r="K21" i="1"/>
  <c r="Q20" i="1"/>
  <c r="O17" i="1"/>
  <c r="O5" i="1"/>
  <c r="O20" i="1"/>
  <c r="O18" i="1"/>
  <c r="I4" i="1"/>
  <c r="I6" i="1" s="1"/>
  <c r="N18" i="1"/>
  <c r="H20" i="1"/>
  <c r="U3" i="1"/>
  <c r="H18" i="1"/>
  <c r="P20" i="1"/>
  <c r="P18" i="1"/>
  <c r="J6" i="1"/>
  <c r="Q5" i="1"/>
  <c r="P17" i="1"/>
  <c r="P19" i="1" s="1"/>
  <c r="P21" i="1" s="1"/>
  <c r="I20" i="1"/>
  <c r="O21" i="3" l="1"/>
  <c r="N21" i="3"/>
  <c r="I7" i="3"/>
  <c r="I9" i="3" s="1"/>
  <c r="I13" i="3" s="1"/>
  <c r="I15" i="3" s="1"/>
  <c r="S21" i="3"/>
  <c r="M7" i="3"/>
  <c r="M13" i="3" s="1"/>
  <c r="M15" i="3" s="1"/>
  <c r="O7" i="3"/>
  <c r="K7" i="3"/>
  <c r="K13" i="3" s="1"/>
  <c r="K15" i="3" s="1"/>
  <c r="N7" i="3"/>
  <c r="N13" i="3" s="1"/>
  <c r="N15" i="3" s="1"/>
  <c r="S7" i="3"/>
  <c r="S13" i="3" s="1"/>
  <c r="S15" i="3" s="1"/>
  <c r="P7" i="3"/>
  <c r="P15" i="3"/>
  <c r="P21" i="3"/>
  <c r="H6" i="3"/>
  <c r="U4" i="3"/>
  <c r="U19" i="3"/>
  <c r="H21" i="3"/>
  <c r="L19" i="3"/>
  <c r="L21" i="3" s="1"/>
  <c r="U17" i="3"/>
  <c r="L7" i="3"/>
  <c r="L13" i="3" s="1"/>
  <c r="L15" i="3" s="1"/>
  <c r="U20" i="3"/>
  <c r="R7" i="3"/>
  <c r="R13" i="3" s="1"/>
  <c r="R15" i="3" s="1"/>
  <c r="U12" i="3"/>
  <c r="U18" i="3"/>
  <c r="J7" i="3"/>
  <c r="J13" i="3" s="1"/>
  <c r="J15" i="3" s="1"/>
  <c r="J21" i="3"/>
  <c r="U5" i="3"/>
  <c r="M21" i="3"/>
  <c r="O10" i="2"/>
  <c r="P5" i="2"/>
  <c r="P7" i="2" s="1"/>
  <c r="P11" i="2" s="1"/>
  <c r="P13" i="2" s="1"/>
  <c r="H5" i="2"/>
  <c r="U4" i="2"/>
  <c r="U15" i="2"/>
  <c r="U16" i="2"/>
  <c r="U20" i="1"/>
  <c r="Q7" i="1"/>
  <c r="Q9" i="1" s="1"/>
  <c r="Q13" i="1" s="1"/>
  <c r="Q15" i="1" s="1"/>
  <c r="Q21" i="1"/>
  <c r="I7" i="1"/>
  <c r="I9" i="1" s="1"/>
  <c r="I13" i="1" s="1"/>
  <c r="I15" i="1" s="1"/>
  <c r="J7" i="1"/>
  <c r="J9" i="1" s="1"/>
  <c r="J13" i="1" s="1"/>
  <c r="J15" i="1" s="1"/>
  <c r="O7" i="1"/>
  <c r="O12" i="1"/>
  <c r="U12" i="1" s="1"/>
  <c r="N7" i="1"/>
  <c r="N9" i="1" s="1"/>
  <c r="N13" i="1" s="1"/>
  <c r="N15" i="1" s="1"/>
  <c r="U4" i="1"/>
  <c r="U6" i="1"/>
  <c r="H7" i="1"/>
  <c r="I21" i="1"/>
  <c r="H19" i="1"/>
  <c r="U18" i="1"/>
  <c r="O19" i="1"/>
  <c r="O21" i="1" s="1"/>
  <c r="R7" i="1"/>
  <c r="R9" i="1" s="1"/>
  <c r="R13" i="1" s="1"/>
  <c r="R15" i="1" s="1"/>
  <c r="N19" i="1"/>
  <c r="N21" i="1" s="1"/>
  <c r="H7" i="3" l="1"/>
  <c r="U6" i="3"/>
  <c r="U21" i="3"/>
  <c r="U5" i="2"/>
  <c r="H6" i="2"/>
  <c r="I6" i="2" s="1"/>
  <c r="J6" i="2" s="1"/>
  <c r="K6" i="2" s="1"/>
  <c r="L6" i="2" s="1"/>
  <c r="M6" i="2" s="1"/>
  <c r="H7" i="2"/>
  <c r="U10" i="2"/>
  <c r="O11" i="2"/>
  <c r="O13" i="2" s="1"/>
  <c r="H8" i="1"/>
  <c r="I8" i="1" s="1"/>
  <c r="J8" i="1" s="1"/>
  <c r="K8" i="1" s="1"/>
  <c r="L8" i="1" s="1"/>
  <c r="M8" i="1" s="1"/>
  <c r="N8" i="1" s="1"/>
  <c r="U7" i="1"/>
  <c r="H9" i="1"/>
  <c r="H13" i="1" s="1"/>
  <c r="U19" i="1"/>
  <c r="H21" i="1"/>
  <c r="U21" i="1" s="1"/>
  <c r="H8" i="3" l="1"/>
  <c r="I8" i="3" s="1"/>
  <c r="J8" i="3" s="1"/>
  <c r="K8" i="3" s="1"/>
  <c r="L8" i="3" s="1"/>
  <c r="M8" i="3" s="1"/>
  <c r="N8" i="3" s="1"/>
  <c r="U7" i="3"/>
  <c r="H9" i="3"/>
  <c r="H13" i="3" s="1"/>
  <c r="H11" i="2"/>
  <c r="N6" i="2"/>
  <c r="O6" i="2" s="1"/>
  <c r="P6" i="2" s="1"/>
  <c r="Q6" i="2" s="1"/>
  <c r="R6" i="2" s="1"/>
  <c r="S6" i="2" s="1"/>
  <c r="H15" i="1"/>
  <c r="O8" i="1"/>
  <c r="P8" i="1" s="1"/>
  <c r="Q8" i="1" s="1"/>
  <c r="R8" i="1" s="1"/>
  <c r="S8" i="1" s="1"/>
  <c r="O9" i="1"/>
  <c r="O13" i="1" s="1"/>
  <c r="O15" i="1" s="1"/>
  <c r="H15" i="3" l="1"/>
  <c r="O8" i="3"/>
  <c r="P8" i="3" s="1"/>
  <c r="Q8" i="3" s="1"/>
  <c r="R8" i="3" s="1"/>
  <c r="S8" i="3" s="1"/>
  <c r="O13" i="3"/>
  <c r="O15" i="3" s="1"/>
  <c r="N7" i="2"/>
  <c r="H13" i="2"/>
  <c r="U15" i="1"/>
  <c r="U13" i="1"/>
  <c r="U15" i="3" l="1"/>
  <c r="U13" i="3"/>
  <c r="N11" i="2"/>
  <c r="U7" i="2"/>
  <c r="N13" i="2" l="1"/>
  <c r="U13" i="2" s="1"/>
  <c r="U11" i="2"/>
</calcChain>
</file>

<file path=xl/sharedStrings.xml><?xml version="1.0" encoding="utf-8"?>
<sst xmlns="http://schemas.openxmlformats.org/spreadsheetml/2006/main" count="238" uniqueCount="62">
  <si>
    <t>SGK Parametreleri</t>
  </si>
  <si>
    <t>Normal</t>
  </si>
  <si>
    <t>Ocak</t>
  </si>
  <si>
    <t>Şubat</t>
  </si>
  <si>
    <t>Mart</t>
  </si>
  <si>
    <t>Nisan</t>
  </si>
  <si>
    <t>Mayıs</t>
  </si>
  <si>
    <t>Haziran</t>
  </si>
  <si>
    <t>Temmuz</t>
  </si>
  <si>
    <t>Ağustos</t>
  </si>
  <si>
    <t>Eylül</t>
  </si>
  <si>
    <t>Ekim</t>
  </si>
  <si>
    <t>Kasım</t>
  </si>
  <si>
    <t>Aralık</t>
  </si>
  <si>
    <t>Toplam</t>
  </si>
  <si>
    <t>Günlük Alt Sınır</t>
  </si>
  <si>
    <t>Brüt Ücret</t>
  </si>
  <si>
    <t>Günlük Üst Sınır</t>
  </si>
  <si>
    <t>Sigorta Matrahı</t>
  </si>
  <si>
    <t>Aylık Alt Sınır</t>
  </si>
  <si>
    <t>İşçi Payı (%14)</t>
  </si>
  <si>
    <t>Aylık Üst Sınır</t>
  </si>
  <si>
    <t>İşçi İşsizlik (%1)</t>
  </si>
  <si>
    <t>İşçi Kesinti Toplamı</t>
  </si>
  <si>
    <t>Gelir Vergisi Dilimleri</t>
  </si>
  <si>
    <t>GV Matrahı</t>
  </si>
  <si>
    <t>0,00 - 32.000,00</t>
  </si>
  <si>
    <t>KGVM</t>
  </si>
  <si>
    <t>32.000,01 - 70.000,00</t>
  </si>
  <si>
    <t>GV Kesintisi</t>
  </si>
  <si>
    <t>70.000,01 - 250.000,00</t>
  </si>
  <si>
    <t>AÜ GV İstisnası</t>
  </si>
  <si>
    <t>250.000,01 - 880.000,00</t>
  </si>
  <si>
    <t>AÜ KGVM</t>
  </si>
  <si>
    <t>880.000,01 - …</t>
  </si>
  <si>
    <t>AÜ Gelir Vergisi</t>
  </si>
  <si>
    <t>Ödenecek GV Kesintisi</t>
  </si>
  <si>
    <t>1. Dönem Kıdem Tazminatı Tavanı</t>
  </si>
  <si>
    <t>2. Dönem Kıdem Tazminatı Tavanı</t>
  </si>
  <si>
    <t>Ödenecek DV Kesintisi</t>
  </si>
  <si>
    <t>Net Ücret</t>
  </si>
  <si>
    <t>Derece ve İndirim</t>
  </si>
  <si>
    <t>Birinci Derece (%80 - %100)</t>
  </si>
  <si>
    <t>İşveren Payı (%20,5)</t>
  </si>
  <si>
    <t>İkinci Derece (%60 - %79,9)</t>
  </si>
  <si>
    <t>İşveren İşsizlik (%2)</t>
  </si>
  <si>
    <t>Üçüncü Derece (%40 - %59,9)</t>
  </si>
  <si>
    <t>İşverene Maliyeti (İnd.siz)</t>
  </si>
  <si>
    <t>5510 %5 İndirim</t>
  </si>
  <si>
    <t>SGK İstisnaları</t>
  </si>
  <si>
    <t>İşverene Maliyeti (İnd.li)</t>
  </si>
  <si>
    <t>Yemek Yardımı (Günlük)</t>
  </si>
  <si>
    <t>Aile Yardımı</t>
  </si>
  <si>
    <t>Çocuk Yardımı (1 Çocuk)</t>
  </si>
  <si>
    <t>Özel Sağlık Sigortası</t>
  </si>
  <si>
    <t>Gelir Vergisi İstisnası</t>
  </si>
  <si>
    <t>Yol Yardımı (Günlük)</t>
  </si>
  <si>
    <t>Emekli</t>
  </si>
  <si>
    <t>İşçi Payı (%7,5)</t>
  </si>
  <si>
    <t>AÜ İstisnası</t>
  </si>
  <si>
    <t>İşveren Payı (%24,5)</t>
  </si>
  <si>
    <t>İşverene Maliyeti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</si>
</sst>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;[Red]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  <charset val="162"/>
    </font>
    <font>
      <sz val="11"/>
      <color theme="1"/>
      <name val="Arial"/>
      <family val="2"/>
      <charset val="162"/>
    </font>
    <font>
      <sz val="11"/>
      <name val="Arial"/>
      <family val="2"/>
      <charset val="16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3" fillId="3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4" fontId="3" fillId="3" borderId="1" xfId="0" applyNumberFormat="1" applyFont="1" applyFill="1" applyBorder="1" applyAlignment="1">
      <alignment horizontal="right" vertical="center"/>
    </xf>
    <xf numFmtId="164" fontId="3" fillId="3" borderId="1" xfId="0" applyNumberFormat="1" applyFont="1" applyFill="1" applyBorder="1" applyAlignment="1">
      <alignment horizontal="right" vertical="center"/>
    </xf>
    <xf numFmtId="0" fontId="3" fillId="4" borderId="1" xfId="0" applyFont="1" applyFill="1" applyBorder="1" applyAlignment="1">
      <alignment horizontal="left" vertical="center"/>
    </xf>
    <xf numFmtId="164" fontId="3" fillId="4" borderId="1" xfId="0" applyNumberFormat="1" applyFont="1" applyFill="1" applyBorder="1" applyAlignment="1">
      <alignment horizontal="right" vertical="center"/>
    </xf>
    <xf numFmtId="9" fontId="3" fillId="3" borderId="1" xfId="0" applyNumberFormat="1" applyFont="1" applyFill="1" applyBorder="1" applyAlignment="1">
      <alignment horizontal="right" vertical="center"/>
    </xf>
    <xf numFmtId="0" fontId="3" fillId="3" borderId="0" xfId="0" applyFont="1" applyFill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164" fontId="3" fillId="5" borderId="1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/>
    </xf>
    <xf numFmtId="164" fontId="3" fillId="6" borderId="1" xfId="0" applyNumberFormat="1" applyFont="1" applyFill="1" applyBorder="1" applyAlignment="1">
      <alignment horizontal="right" vertical="center"/>
    </xf>
    <xf numFmtId="164" fontId="4" fillId="3" borderId="1" xfId="0" applyNumberFormat="1" applyFont="1" applyFill="1" applyBorder="1" applyAlignment="1">
      <alignment horizontal="right" vertical="center"/>
    </xf>
    <xf numFmtId="0" fontId="3" fillId="3" borderId="0" xfId="0" applyFont="1" applyFill="1" applyAlignment="1">
      <alignment horizontal="center" vertical="center" wrapText="1"/>
    </xf>
    <xf numFmtId="0" fontId="3" fillId="7" borderId="1" xfId="0" applyFont="1" applyFill="1" applyBorder="1" applyAlignment="1">
      <alignment horizontal="left" vertical="center"/>
    </xf>
    <xf numFmtId="164" fontId="3" fillId="7" borderId="1" xfId="0" applyNumberFormat="1" applyFont="1" applyFill="1" applyBorder="1" applyAlignment="1">
      <alignment horizontal="right" vertical="center"/>
    </xf>
    <xf numFmtId="164" fontId="3" fillId="3" borderId="0" xfId="0" applyNumberFormat="1" applyFont="1" applyFill="1" applyAlignment="1">
      <alignment horizontal="left" vertical="center"/>
    </xf>
    <xf numFmtId="0" fontId="3" fillId="8" borderId="1" xfId="0" applyFont="1" applyFill="1" applyBorder="1" applyAlignment="1">
      <alignment horizontal="left" vertical="center"/>
    </xf>
    <xf numFmtId="164" fontId="3" fillId="8" borderId="1" xfId="0" applyNumberFormat="1" applyFont="1" applyFill="1" applyBorder="1" applyAlignment="1">
      <alignment horizontal="right" vertical="center"/>
    </xf>
    <xf numFmtId="43" fontId="3" fillId="3" borderId="0" xfId="1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2">
    <cellStyle name="Normal" xfId="0" builtinId="0"/>
    <cellStyle name="Virgül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9"/>
  <sheetViews>
    <sheetView workbookViewId="0">
      <selection sqref="A1:B1"/>
    </sheetView>
  </sheetViews>
  <sheetFormatPr defaultRowHeight="14.25" x14ac:dyDescent="0.25"/>
  <cols>
    <col min="1" max="1" width="36" style="1" bestFit="1" customWidth="1"/>
    <col min="2" max="2" width="10.140625" style="1" bestFit="1" customWidth="1"/>
    <col min="3" max="3" width="5.7109375" style="1" customWidth="1"/>
    <col min="4" max="4" width="36" style="1" bestFit="1" customWidth="1"/>
    <col min="5" max="5" width="10.140625" style="1" bestFit="1" customWidth="1"/>
    <col min="6" max="6" width="5.7109375" style="1" customWidth="1"/>
    <col min="7" max="7" width="24.5703125" style="1" bestFit="1" customWidth="1"/>
    <col min="8" max="9" width="9" style="1" bestFit="1" customWidth="1"/>
    <col min="10" max="19" width="10.140625" style="1" bestFit="1" customWidth="1"/>
    <col min="20" max="20" width="5.7109375" style="1" customWidth="1"/>
    <col min="21" max="21" width="10.140625" style="1" bestFit="1" customWidth="1"/>
    <col min="22" max="22" width="5.7109375" style="1" customWidth="1"/>
    <col min="23" max="16384" width="9.140625" style="1"/>
  </cols>
  <sheetData>
    <row r="1" spans="1:21" ht="16.5" customHeight="1" x14ac:dyDescent="0.25">
      <c r="A1" s="25" t="s">
        <v>0</v>
      </c>
      <c r="B1" s="25"/>
      <c r="D1" s="25" t="s">
        <v>0</v>
      </c>
      <c r="E1" s="25"/>
      <c r="G1" s="2" t="s">
        <v>1</v>
      </c>
      <c r="H1" s="2" t="s">
        <v>2</v>
      </c>
      <c r="I1" s="2" t="s">
        <v>3</v>
      </c>
      <c r="J1" s="2" t="s">
        <v>4</v>
      </c>
      <c r="K1" s="2" t="s">
        <v>5</v>
      </c>
      <c r="L1" s="2" t="s">
        <v>6</v>
      </c>
      <c r="M1" s="2" t="s">
        <v>7</v>
      </c>
      <c r="N1" s="2" t="s">
        <v>8</v>
      </c>
      <c r="O1" s="2" t="s">
        <v>9</v>
      </c>
      <c r="P1" s="2" t="s">
        <v>10</v>
      </c>
      <c r="Q1" s="2" t="s">
        <v>11</v>
      </c>
      <c r="R1" s="2" t="s">
        <v>12</v>
      </c>
      <c r="S1" s="2" t="s">
        <v>13</v>
      </c>
      <c r="U1" s="2" t="s">
        <v>14</v>
      </c>
    </row>
    <row r="2" spans="1:21" x14ac:dyDescent="0.25">
      <c r="A2" s="3" t="s">
        <v>15</v>
      </c>
      <c r="B2" s="4">
        <v>166.8</v>
      </c>
      <c r="D2" s="3" t="s">
        <v>15</v>
      </c>
      <c r="E2" s="4">
        <v>215.7</v>
      </c>
      <c r="G2" s="3" t="s">
        <v>16</v>
      </c>
      <c r="H2" s="5">
        <v>5004</v>
      </c>
      <c r="I2" s="5">
        <v>5004</v>
      </c>
      <c r="J2" s="5">
        <v>5004</v>
      </c>
      <c r="K2" s="5">
        <v>5004</v>
      </c>
      <c r="L2" s="5">
        <v>5004</v>
      </c>
      <c r="M2" s="5">
        <v>5004</v>
      </c>
      <c r="N2" s="5">
        <v>6471</v>
      </c>
      <c r="O2" s="5">
        <v>6471</v>
      </c>
      <c r="P2" s="5">
        <v>6471</v>
      </c>
      <c r="Q2" s="5">
        <v>6471</v>
      </c>
      <c r="R2" s="5">
        <v>6471</v>
      </c>
      <c r="S2" s="5">
        <v>6471</v>
      </c>
      <c r="U2" s="5">
        <f t="shared" ref="U2:U7" si="0">SUM(H2:S2)</f>
        <v>68850</v>
      </c>
    </row>
    <row r="3" spans="1:21" x14ac:dyDescent="0.25">
      <c r="A3" s="3" t="s">
        <v>17</v>
      </c>
      <c r="B3" s="4">
        <f>ROUNDUP(B2*7.5,2)</f>
        <v>1251</v>
      </c>
      <c r="D3" s="3" t="s">
        <v>17</v>
      </c>
      <c r="E3" s="4">
        <f>ROUNDUP(E2*7.5,2)</f>
        <v>1617.75</v>
      </c>
      <c r="G3" s="3" t="s">
        <v>18</v>
      </c>
      <c r="H3" s="5">
        <f>+H2</f>
        <v>5004</v>
      </c>
      <c r="I3" s="5">
        <f t="shared" ref="I3:S3" si="1">+I2</f>
        <v>5004</v>
      </c>
      <c r="J3" s="5">
        <f t="shared" si="1"/>
        <v>5004</v>
      </c>
      <c r="K3" s="5">
        <f t="shared" si="1"/>
        <v>5004</v>
      </c>
      <c r="L3" s="5">
        <f t="shared" si="1"/>
        <v>5004</v>
      </c>
      <c r="M3" s="5">
        <f t="shared" si="1"/>
        <v>5004</v>
      </c>
      <c r="N3" s="5">
        <f t="shared" si="1"/>
        <v>6471</v>
      </c>
      <c r="O3" s="5">
        <f t="shared" si="1"/>
        <v>6471</v>
      </c>
      <c r="P3" s="5">
        <f t="shared" si="1"/>
        <v>6471</v>
      </c>
      <c r="Q3" s="5">
        <f t="shared" si="1"/>
        <v>6471</v>
      </c>
      <c r="R3" s="5">
        <f t="shared" si="1"/>
        <v>6471</v>
      </c>
      <c r="S3" s="5">
        <f t="shared" si="1"/>
        <v>6471</v>
      </c>
      <c r="U3" s="5">
        <f t="shared" si="0"/>
        <v>68850</v>
      </c>
    </row>
    <row r="4" spans="1:21" x14ac:dyDescent="0.25">
      <c r="A4" s="3" t="s">
        <v>19</v>
      </c>
      <c r="B4" s="4">
        <f>+B2*30</f>
        <v>5004</v>
      </c>
      <c r="D4" s="3" t="s">
        <v>19</v>
      </c>
      <c r="E4" s="4">
        <f>+E2*30</f>
        <v>6471</v>
      </c>
      <c r="G4" s="3" t="s">
        <v>20</v>
      </c>
      <c r="H4" s="5">
        <f>H3*0.14</f>
        <v>700.56000000000006</v>
      </c>
      <c r="I4" s="5">
        <f t="shared" ref="I4:S4" si="2">I3*0.14</f>
        <v>700.56000000000006</v>
      </c>
      <c r="J4" s="5">
        <f t="shared" si="2"/>
        <v>700.56000000000006</v>
      </c>
      <c r="K4" s="5">
        <f t="shared" si="2"/>
        <v>700.56000000000006</v>
      </c>
      <c r="L4" s="5">
        <f t="shared" si="2"/>
        <v>700.56000000000006</v>
      </c>
      <c r="M4" s="5">
        <f t="shared" si="2"/>
        <v>700.56000000000006</v>
      </c>
      <c r="N4" s="5">
        <f t="shared" si="2"/>
        <v>905.94</v>
      </c>
      <c r="O4" s="5">
        <f t="shared" si="2"/>
        <v>905.94</v>
      </c>
      <c r="P4" s="5">
        <f t="shared" si="2"/>
        <v>905.94</v>
      </c>
      <c r="Q4" s="5">
        <f t="shared" si="2"/>
        <v>905.94</v>
      </c>
      <c r="R4" s="5">
        <f t="shared" si="2"/>
        <v>905.94</v>
      </c>
      <c r="S4" s="5">
        <f t="shared" si="2"/>
        <v>905.94</v>
      </c>
      <c r="U4" s="5">
        <f t="shared" si="0"/>
        <v>9639.0000000000036</v>
      </c>
    </row>
    <row r="5" spans="1:21" x14ac:dyDescent="0.25">
      <c r="A5" s="3" t="s">
        <v>21</v>
      </c>
      <c r="B5" s="4">
        <f>B3*30</f>
        <v>37530</v>
      </c>
      <c r="D5" s="3" t="s">
        <v>21</v>
      </c>
      <c r="E5" s="4">
        <f>E3*30</f>
        <v>48532.5</v>
      </c>
      <c r="G5" s="3" t="s">
        <v>22</v>
      </c>
      <c r="H5" s="5">
        <f>H3*0.01</f>
        <v>50.04</v>
      </c>
      <c r="I5" s="5">
        <f t="shared" ref="I5:S5" si="3">I3*0.01</f>
        <v>50.04</v>
      </c>
      <c r="J5" s="5">
        <f t="shared" si="3"/>
        <v>50.04</v>
      </c>
      <c r="K5" s="5">
        <f t="shared" si="3"/>
        <v>50.04</v>
      </c>
      <c r="L5" s="5">
        <f t="shared" si="3"/>
        <v>50.04</v>
      </c>
      <c r="M5" s="5">
        <f t="shared" si="3"/>
        <v>50.04</v>
      </c>
      <c r="N5" s="5">
        <f t="shared" si="3"/>
        <v>64.710000000000008</v>
      </c>
      <c r="O5" s="5">
        <f t="shared" si="3"/>
        <v>64.710000000000008</v>
      </c>
      <c r="P5" s="5">
        <f t="shared" si="3"/>
        <v>64.710000000000008</v>
      </c>
      <c r="Q5" s="5">
        <f t="shared" si="3"/>
        <v>64.710000000000008</v>
      </c>
      <c r="R5" s="5">
        <f t="shared" si="3"/>
        <v>64.710000000000008</v>
      </c>
      <c r="S5" s="5">
        <f t="shared" si="3"/>
        <v>64.710000000000008</v>
      </c>
      <c r="U5" s="5">
        <f t="shared" si="0"/>
        <v>688.50000000000023</v>
      </c>
    </row>
    <row r="6" spans="1:21" x14ac:dyDescent="0.25">
      <c r="G6" s="3" t="s">
        <v>23</v>
      </c>
      <c r="H6" s="5">
        <f>H4+H5</f>
        <v>750.6</v>
      </c>
      <c r="I6" s="5">
        <f t="shared" ref="I6:S6" si="4">I4+I5</f>
        <v>750.6</v>
      </c>
      <c r="J6" s="5">
        <f t="shared" si="4"/>
        <v>750.6</v>
      </c>
      <c r="K6" s="5">
        <f t="shared" si="4"/>
        <v>750.6</v>
      </c>
      <c r="L6" s="5">
        <f t="shared" si="4"/>
        <v>750.6</v>
      </c>
      <c r="M6" s="5">
        <f t="shared" si="4"/>
        <v>750.6</v>
      </c>
      <c r="N6" s="5">
        <f t="shared" si="4"/>
        <v>970.65000000000009</v>
      </c>
      <c r="O6" s="5">
        <f t="shared" si="4"/>
        <v>970.65000000000009</v>
      </c>
      <c r="P6" s="5">
        <f t="shared" si="4"/>
        <v>970.65000000000009</v>
      </c>
      <c r="Q6" s="5">
        <f t="shared" si="4"/>
        <v>970.65000000000009</v>
      </c>
      <c r="R6" s="5">
        <f t="shared" si="4"/>
        <v>970.65000000000009</v>
      </c>
      <c r="S6" s="5">
        <f t="shared" si="4"/>
        <v>970.65000000000009</v>
      </c>
      <c r="U6" s="5">
        <f t="shared" si="0"/>
        <v>10327.499999999998</v>
      </c>
    </row>
    <row r="7" spans="1:21" ht="16.5" customHeight="1" x14ac:dyDescent="0.25">
      <c r="A7" s="25" t="s">
        <v>24</v>
      </c>
      <c r="B7" s="25"/>
      <c r="D7" s="25" t="s">
        <v>24</v>
      </c>
      <c r="E7" s="25"/>
      <c r="G7" s="6" t="s">
        <v>25</v>
      </c>
      <c r="H7" s="7">
        <f>H2-H6</f>
        <v>4253.3999999999996</v>
      </c>
      <c r="I7" s="7">
        <f>I2-I6</f>
        <v>4253.3999999999996</v>
      </c>
      <c r="J7" s="7">
        <f>J2-J6</f>
        <v>4253.3999999999996</v>
      </c>
      <c r="K7" s="7">
        <f>K2-K6</f>
        <v>4253.3999999999996</v>
      </c>
      <c r="L7" s="7">
        <f t="shared" ref="L7:S7" si="5">L2-L6</f>
        <v>4253.3999999999996</v>
      </c>
      <c r="M7" s="7">
        <f t="shared" si="5"/>
        <v>4253.3999999999996</v>
      </c>
      <c r="N7" s="7">
        <f t="shared" si="5"/>
        <v>5500.35</v>
      </c>
      <c r="O7" s="7">
        <f t="shared" si="5"/>
        <v>5500.35</v>
      </c>
      <c r="P7" s="7">
        <f t="shared" si="5"/>
        <v>5500.35</v>
      </c>
      <c r="Q7" s="7">
        <f t="shared" si="5"/>
        <v>5500.35</v>
      </c>
      <c r="R7" s="7">
        <f t="shared" si="5"/>
        <v>5500.35</v>
      </c>
      <c r="S7" s="7">
        <f t="shared" si="5"/>
        <v>5500.35</v>
      </c>
      <c r="U7" s="5">
        <f t="shared" si="0"/>
        <v>58522.499999999993</v>
      </c>
    </row>
    <row r="8" spans="1:21" x14ac:dyDescent="0.25">
      <c r="A8" s="3" t="s">
        <v>26</v>
      </c>
      <c r="B8" s="8">
        <v>0.15</v>
      </c>
      <c r="D8" s="3" t="s">
        <v>26</v>
      </c>
      <c r="E8" s="8">
        <v>0.15</v>
      </c>
      <c r="G8" s="6" t="s">
        <v>27</v>
      </c>
      <c r="H8" s="7">
        <f>H7</f>
        <v>4253.3999999999996</v>
      </c>
      <c r="I8" s="7">
        <f>+H8+I7</f>
        <v>8506.7999999999993</v>
      </c>
      <c r="J8" s="7">
        <f t="shared" ref="J8:S8" si="6">I8+J7</f>
        <v>12760.199999999999</v>
      </c>
      <c r="K8" s="7">
        <f t="shared" si="6"/>
        <v>17013.599999999999</v>
      </c>
      <c r="L8" s="7">
        <f t="shared" si="6"/>
        <v>21267</v>
      </c>
      <c r="M8" s="7">
        <f t="shared" si="6"/>
        <v>25520.400000000001</v>
      </c>
      <c r="N8" s="7">
        <f t="shared" si="6"/>
        <v>31020.75</v>
      </c>
      <c r="O8" s="7">
        <f t="shared" si="6"/>
        <v>36521.1</v>
      </c>
      <c r="P8" s="7">
        <f t="shared" si="6"/>
        <v>42021.45</v>
      </c>
      <c r="Q8" s="7">
        <f t="shared" si="6"/>
        <v>47521.799999999996</v>
      </c>
      <c r="R8" s="7">
        <f t="shared" si="6"/>
        <v>53022.149999999994</v>
      </c>
      <c r="S8" s="7">
        <f t="shared" si="6"/>
        <v>58522.499999999993</v>
      </c>
      <c r="U8" s="9"/>
    </row>
    <row r="9" spans="1:21" x14ac:dyDescent="0.25">
      <c r="A9" s="3" t="s">
        <v>28</v>
      </c>
      <c r="B9" s="8">
        <v>0.2</v>
      </c>
      <c r="D9" s="3" t="s">
        <v>28</v>
      </c>
      <c r="E9" s="8">
        <v>0.2</v>
      </c>
      <c r="G9" s="3" t="s">
        <v>29</v>
      </c>
      <c r="H9" s="5">
        <f t="shared" ref="H9:N9" si="7">H7*0.15</f>
        <v>638.00999999999988</v>
      </c>
      <c r="I9" s="5">
        <f t="shared" si="7"/>
        <v>638.00999999999988</v>
      </c>
      <c r="J9" s="5">
        <f t="shared" si="7"/>
        <v>638.00999999999988</v>
      </c>
      <c r="K9" s="5">
        <f t="shared" si="7"/>
        <v>638.00999999999988</v>
      </c>
      <c r="L9" s="5">
        <f t="shared" si="7"/>
        <v>638.00999999999988</v>
      </c>
      <c r="M9" s="5">
        <f t="shared" si="7"/>
        <v>638.00999999999988</v>
      </c>
      <c r="N9" s="5">
        <f t="shared" si="7"/>
        <v>825.05250000000001</v>
      </c>
      <c r="O9" s="5">
        <f>((32000-N8)*0.15)+((O8-32000)*0.2)</f>
        <v>1051.1074999999998</v>
      </c>
      <c r="P9" s="5">
        <f>P7*0.2</f>
        <v>1100.0700000000002</v>
      </c>
      <c r="Q9" s="5">
        <f>Q7*0.2</f>
        <v>1100.0700000000002</v>
      </c>
      <c r="R9" s="5">
        <f>R7*0.2</f>
        <v>1100.0700000000002</v>
      </c>
      <c r="S9" s="5">
        <f>S7*0.2</f>
        <v>1100.0700000000002</v>
      </c>
    </row>
    <row r="10" spans="1:21" x14ac:dyDescent="0.25">
      <c r="A10" s="3" t="s">
        <v>30</v>
      </c>
      <c r="B10" s="8">
        <v>0.27</v>
      </c>
      <c r="D10" s="3" t="s">
        <v>30</v>
      </c>
      <c r="E10" s="8">
        <v>0.27</v>
      </c>
      <c r="G10" s="6" t="s">
        <v>31</v>
      </c>
      <c r="H10" s="7">
        <v>4253.3999999999996</v>
      </c>
      <c r="I10" s="7">
        <v>4253.3999999999996</v>
      </c>
      <c r="J10" s="7">
        <v>4253.3999999999996</v>
      </c>
      <c r="K10" s="7">
        <v>4253.3999999999996</v>
      </c>
      <c r="L10" s="7">
        <v>4253.3999999999996</v>
      </c>
      <c r="M10" s="7">
        <v>4253.3999999999996</v>
      </c>
      <c r="N10" s="7">
        <v>5500.35</v>
      </c>
      <c r="O10" s="7">
        <v>5500.35</v>
      </c>
      <c r="P10" s="7">
        <v>5500.35</v>
      </c>
      <c r="Q10" s="7">
        <v>5500.35</v>
      </c>
      <c r="R10" s="7">
        <v>5500.35</v>
      </c>
      <c r="S10" s="7">
        <v>5500.35</v>
      </c>
      <c r="U10" s="5">
        <f>SUM(H10:S10)</f>
        <v>58522.499999999993</v>
      </c>
    </row>
    <row r="11" spans="1:21" x14ac:dyDescent="0.25">
      <c r="A11" s="3" t="s">
        <v>32</v>
      </c>
      <c r="B11" s="8">
        <v>0.35</v>
      </c>
      <c r="D11" s="3" t="s">
        <v>32</v>
      </c>
      <c r="E11" s="8">
        <v>0.35</v>
      </c>
      <c r="G11" s="6" t="s">
        <v>33</v>
      </c>
      <c r="H11" s="7">
        <f>H10</f>
        <v>4253.3999999999996</v>
      </c>
      <c r="I11" s="7">
        <f>+H11+I10</f>
        <v>8506.7999999999993</v>
      </c>
      <c r="J11" s="7">
        <f t="shared" ref="J11:S11" si="8">I11+J10</f>
        <v>12760.199999999999</v>
      </c>
      <c r="K11" s="7">
        <f t="shared" si="8"/>
        <v>17013.599999999999</v>
      </c>
      <c r="L11" s="7">
        <f t="shared" si="8"/>
        <v>21267</v>
      </c>
      <c r="M11" s="7">
        <f t="shared" si="8"/>
        <v>25520.400000000001</v>
      </c>
      <c r="N11" s="7">
        <f t="shared" si="8"/>
        <v>31020.75</v>
      </c>
      <c r="O11" s="7">
        <f t="shared" si="8"/>
        <v>36521.1</v>
      </c>
      <c r="P11" s="7">
        <f t="shared" si="8"/>
        <v>42021.45</v>
      </c>
      <c r="Q11" s="7">
        <f t="shared" si="8"/>
        <v>47521.799999999996</v>
      </c>
      <c r="R11" s="7">
        <f t="shared" si="8"/>
        <v>53022.149999999994</v>
      </c>
      <c r="S11" s="7">
        <f t="shared" si="8"/>
        <v>58522.499999999993</v>
      </c>
      <c r="U11" s="9"/>
    </row>
    <row r="12" spans="1:21" x14ac:dyDescent="0.25">
      <c r="A12" s="3" t="s">
        <v>34</v>
      </c>
      <c r="B12" s="8">
        <v>0.4</v>
      </c>
      <c r="D12" s="3" t="s">
        <v>34</v>
      </c>
      <c r="E12" s="8">
        <v>0.4</v>
      </c>
      <c r="G12" s="10" t="s">
        <v>35</v>
      </c>
      <c r="H12" s="11">
        <f t="shared" ref="H12:N12" si="9">H10*0.15</f>
        <v>638.00999999999988</v>
      </c>
      <c r="I12" s="11">
        <f t="shared" si="9"/>
        <v>638.00999999999988</v>
      </c>
      <c r="J12" s="11">
        <f t="shared" si="9"/>
        <v>638.00999999999988</v>
      </c>
      <c r="K12" s="11">
        <f t="shared" si="9"/>
        <v>638.00999999999988</v>
      </c>
      <c r="L12" s="11">
        <f t="shared" si="9"/>
        <v>638.00999999999988</v>
      </c>
      <c r="M12" s="11">
        <f t="shared" si="9"/>
        <v>638.00999999999988</v>
      </c>
      <c r="N12" s="11">
        <f t="shared" si="9"/>
        <v>825.05250000000001</v>
      </c>
      <c r="O12" s="11">
        <f>((32000-N11)*0.15)+((O11-32000)*0.2)</f>
        <v>1051.1074999999998</v>
      </c>
      <c r="P12" s="11">
        <f>P10*0.2</f>
        <v>1100.0700000000002</v>
      </c>
      <c r="Q12" s="11">
        <f t="shared" ref="Q12:S12" si="10">Q10*0.2</f>
        <v>1100.0700000000002</v>
      </c>
      <c r="R12" s="11">
        <f t="shared" si="10"/>
        <v>1100.0700000000002</v>
      </c>
      <c r="S12" s="11">
        <f t="shared" si="10"/>
        <v>1100.0700000000002</v>
      </c>
      <c r="U12" s="11">
        <f>SUM(H12:S12)</f>
        <v>10104.499999999998</v>
      </c>
    </row>
    <row r="13" spans="1:21" x14ac:dyDescent="0.25">
      <c r="G13" s="3" t="s">
        <v>36</v>
      </c>
      <c r="H13" s="5">
        <f>H9-H12</f>
        <v>0</v>
      </c>
      <c r="I13" s="5">
        <f t="shared" ref="I13:S13" si="11">I9-I12</f>
        <v>0</v>
      </c>
      <c r="J13" s="5">
        <f t="shared" si="11"/>
        <v>0</v>
      </c>
      <c r="K13" s="5">
        <f t="shared" si="11"/>
        <v>0</v>
      </c>
      <c r="L13" s="5">
        <f t="shared" si="11"/>
        <v>0</v>
      </c>
      <c r="M13" s="5">
        <f t="shared" si="11"/>
        <v>0</v>
      </c>
      <c r="N13" s="5">
        <f>N9-N12</f>
        <v>0</v>
      </c>
      <c r="O13" s="5">
        <f t="shared" si="11"/>
        <v>0</v>
      </c>
      <c r="P13" s="5">
        <f t="shared" si="11"/>
        <v>0</v>
      </c>
      <c r="Q13" s="5">
        <f t="shared" si="11"/>
        <v>0</v>
      </c>
      <c r="R13" s="5">
        <f t="shared" si="11"/>
        <v>0</v>
      </c>
      <c r="S13" s="5">
        <f t="shared" si="11"/>
        <v>0</v>
      </c>
      <c r="U13" s="5">
        <f>SUM(H13:S13)</f>
        <v>0</v>
      </c>
    </row>
    <row r="14" spans="1:21" ht="16.5" customHeight="1" x14ac:dyDescent="0.25">
      <c r="A14" s="12" t="s">
        <v>37</v>
      </c>
      <c r="B14" s="4">
        <v>10848.59</v>
      </c>
      <c r="D14" s="12" t="s">
        <v>38</v>
      </c>
      <c r="E14" s="4">
        <v>15371.4</v>
      </c>
      <c r="G14" s="3" t="s">
        <v>39</v>
      </c>
      <c r="H14" s="5">
        <f>(H2-5004)*0.00759</f>
        <v>0</v>
      </c>
      <c r="I14" s="5">
        <f t="shared" ref="I14:M14" si="12">(I2-5004)*0.00759</f>
        <v>0</v>
      </c>
      <c r="J14" s="5">
        <f t="shared" si="12"/>
        <v>0</v>
      </c>
      <c r="K14" s="5">
        <f t="shared" si="12"/>
        <v>0</v>
      </c>
      <c r="L14" s="5">
        <f t="shared" si="12"/>
        <v>0</v>
      </c>
      <c r="M14" s="5">
        <f t="shared" si="12"/>
        <v>0</v>
      </c>
      <c r="N14" s="5">
        <f>(N2-6471)*0.00759</f>
        <v>0</v>
      </c>
      <c r="O14" s="5">
        <f t="shared" ref="O14:S14" si="13">(O2-6471)*0.00759</f>
        <v>0</v>
      </c>
      <c r="P14" s="5">
        <f t="shared" si="13"/>
        <v>0</v>
      </c>
      <c r="Q14" s="5">
        <f t="shared" si="13"/>
        <v>0</v>
      </c>
      <c r="R14" s="5">
        <f t="shared" si="13"/>
        <v>0</v>
      </c>
      <c r="S14" s="5">
        <f t="shared" si="13"/>
        <v>0</v>
      </c>
      <c r="U14" s="5">
        <f>SUM(H14:S14)</f>
        <v>0</v>
      </c>
    </row>
    <row r="15" spans="1:21" x14ac:dyDescent="0.25">
      <c r="G15" s="13" t="s">
        <v>40</v>
      </c>
      <c r="H15" s="14">
        <f t="shared" ref="H15:S15" si="14">H2-H6-H13-H14</f>
        <v>4253.3999999999996</v>
      </c>
      <c r="I15" s="14">
        <f t="shared" si="14"/>
        <v>4253.3999999999996</v>
      </c>
      <c r="J15" s="14">
        <f t="shared" si="14"/>
        <v>4253.3999999999996</v>
      </c>
      <c r="K15" s="14">
        <f t="shared" si="14"/>
        <v>4253.3999999999996</v>
      </c>
      <c r="L15" s="14">
        <f t="shared" si="14"/>
        <v>4253.3999999999996</v>
      </c>
      <c r="M15" s="14">
        <f t="shared" si="14"/>
        <v>4253.3999999999996</v>
      </c>
      <c r="N15" s="14">
        <f>N2-N6-N13-N14</f>
        <v>5500.35</v>
      </c>
      <c r="O15" s="14">
        <f t="shared" si="14"/>
        <v>5500.35</v>
      </c>
      <c r="P15" s="14">
        <f t="shared" si="14"/>
        <v>5500.35</v>
      </c>
      <c r="Q15" s="14">
        <f t="shared" si="14"/>
        <v>5500.35</v>
      </c>
      <c r="R15" s="14">
        <f t="shared" si="14"/>
        <v>5500.35</v>
      </c>
      <c r="S15" s="14">
        <f t="shared" si="14"/>
        <v>5500.35</v>
      </c>
      <c r="U15" s="14">
        <f>SUM(H15:S15)/12</f>
        <v>4876.8749999999991</v>
      </c>
    </row>
    <row r="16" spans="1:21" ht="16.5" customHeight="1" x14ac:dyDescent="0.25">
      <c r="A16" s="23" t="s">
        <v>41</v>
      </c>
      <c r="B16" s="24"/>
      <c r="D16" s="23" t="s">
        <v>41</v>
      </c>
      <c r="E16" s="24"/>
    </row>
    <row r="17" spans="1:22" x14ac:dyDescent="0.25">
      <c r="A17" s="3" t="s">
        <v>42</v>
      </c>
      <c r="B17" s="15">
        <v>2000</v>
      </c>
      <c r="D17" s="3" t="s">
        <v>42</v>
      </c>
      <c r="E17" s="15">
        <v>2000</v>
      </c>
      <c r="G17" s="3" t="s">
        <v>43</v>
      </c>
      <c r="H17" s="5">
        <f>+H3*0.205</f>
        <v>1025.82</v>
      </c>
      <c r="I17" s="5">
        <f>+I3*0.205</f>
        <v>1025.82</v>
      </c>
      <c r="J17" s="5">
        <f>+J3*0.205</f>
        <v>1025.82</v>
      </c>
      <c r="K17" s="5">
        <f>+K3*0.205</f>
        <v>1025.82</v>
      </c>
      <c r="L17" s="5">
        <f>+L3*0.205</f>
        <v>1025.82</v>
      </c>
      <c r="M17" s="5">
        <f t="shared" ref="M17:S17" si="15">+M3*0.205</f>
        <v>1025.82</v>
      </c>
      <c r="N17" s="5">
        <f t="shared" si="15"/>
        <v>1326.5549999999998</v>
      </c>
      <c r="O17" s="5">
        <f t="shared" si="15"/>
        <v>1326.5549999999998</v>
      </c>
      <c r="P17" s="5">
        <f t="shared" si="15"/>
        <v>1326.5549999999998</v>
      </c>
      <c r="Q17" s="5">
        <f t="shared" si="15"/>
        <v>1326.5549999999998</v>
      </c>
      <c r="R17" s="5">
        <f t="shared" si="15"/>
        <v>1326.5549999999998</v>
      </c>
      <c r="S17" s="5">
        <f t="shared" si="15"/>
        <v>1326.5549999999998</v>
      </c>
      <c r="U17" s="5">
        <f>SUM(H17:S17)</f>
        <v>14114.25</v>
      </c>
    </row>
    <row r="18" spans="1:22" x14ac:dyDescent="0.25">
      <c r="A18" s="3" t="s">
        <v>44</v>
      </c>
      <c r="B18" s="15">
        <v>1170</v>
      </c>
      <c r="D18" s="3" t="s">
        <v>44</v>
      </c>
      <c r="E18" s="15">
        <v>1170</v>
      </c>
      <c r="G18" s="3" t="s">
        <v>45</v>
      </c>
      <c r="H18" s="5">
        <f>+H3*0.02</f>
        <v>100.08</v>
      </c>
      <c r="I18" s="5">
        <f>+I3*0.02</f>
        <v>100.08</v>
      </c>
      <c r="J18" s="5">
        <f>+J3*0.02</f>
        <v>100.08</v>
      </c>
      <c r="K18" s="5">
        <f>+K3*0.02</f>
        <v>100.08</v>
      </c>
      <c r="L18" s="5">
        <f>+L3*0.02</f>
        <v>100.08</v>
      </c>
      <c r="M18" s="5">
        <f t="shared" ref="M18:S18" si="16">+M3*0.02</f>
        <v>100.08</v>
      </c>
      <c r="N18" s="5">
        <f t="shared" si="16"/>
        <v>129.42000000000002</v>
      </c>
      <c r="O18" s="5">
        <f t="shared" si="16"/>
        <v>129.42000000000002</v>
      </c>
      <c r="P18" s="5">
        <f t="shared" si="16"/>
        <v>129.42000000000002</v>
      </c>
      <c r="Q18" s="5">
        <f t="shared" si="16"/>
        <v>129.42000000000002</v>
      </c>
      <c r="R18" s="5">
        <f t="shared" si="16"/>
        <v>129.42000000000002</v>
      </c>
      <c r="S18" s="5">
        <f t="shared" si="16"/>
        <v>129.42000000000002</v>
      </c>
      <c r="U18" s="5">
        <f>SUM(H18:S18)</f>
        <v>1377.0000000000005</v>
      </c>
    </row>
    <row r="19" spans="1:22" x14ac:dyDescent="0.25">
      <c r="A19" s="3" t="s">
        <v>46</v>
      </c>
      <c r="B19" s="15">
        <v>500</v>
      </c>
      <c r="C19" s="16"/>
      <c r="D19" s="3" t="s">
        <v>46</v>
      </c>
      <c r="E19" s="15">
        <v>500</v>
      </c>
      <c r="F19" s="16"/>
      <c r="G19" s="17" t="s">
        <v>47</v>
      </c>
      <c r="H19" s="18">
        <f>+H2+H17+H18</f>
        <v>6129.9</v>
      </c>
      <c r="I19" s="18">
        <f>I2+I17+I18</f>
        <v>6129.9</v>
      </c>
      <c r="J19" s="18">
        <f>J2+J17+J18</f>
        <v>6129.9</v>
      </c>
      <c r="K19" s="18">
        <f>K2+K17+K18</f>
        <v>6129.9</v>
      </c>
      <c r="L19" s="18">
        <f>L2+L17+L18</f>
        <v>6129.9</v>
      </c>
      <c r="M19" s="18">
        <f t="shared" ref="M19:S19" si="17">M2+M17+M18</f>
        <v>6129.9</v>
      </c>
      <c r="N19" s="18">
        <f t="shared" si="17"/>
        <v>7926.9750000000004</v>
      </c>
      <c r="O19" s="18">
        <f t="shared" si="17"/>
        <v>7926.9750000000004</v>
      </c>
      <c r="P19" s="18">
        <f t="shared" si="17"/>
        <v>7926.9750000000004</v>
      </c>
      <c r="Q19" s="18">
        <f t="shared" si="17"/>
        <v>7926.9750000000004</v>
      </c>
      <c r="R19" s="18">
        <f t="shared" si="17"/>
        <v>7926.9750000000004</v>
      </c>
      <c r="S19" s="18">
        <f t="shared" si="17"/>
        <v>7926.9750000000004</v>
      </c>
      <c r="T19" s="16"/>
      <c r="U19" s="5">
        <f>SUM(H19:S19)</f>
        <v>84341.250000000015</v>
      </c>
      <c r="V19" s="16"/>
    </row>
    <row r="20" spans="1:22" x14ac:dyDescent="0.25">
      <c r="G20" s="3" t="s">
        <v>48</v>
      </c>
      <c r="H20" s="5">
        <f>H3*0.05</f>
        <v>250.20000000000002</v>
      </c>
      <c r="I20" s="5">
        <f t="shared" ref="I20:S20" si="18">I3*0.05</f>
        <v>250.20000000000002</v>
      </c>
      <c r="J20" s="5">
        <f t="shared" si="18"/>
        <v>250.20000000000002</v>
      </c>
      <c r="K20" s="5">
        <f t="shared" si="18"/>
        <v>250.20000000000002</v>
      </c>
      <c r="L20" s="5">
        <f t="shared" si="18"/>
        <v>250.20000000000002</v>
      </c>
      <c r="M20" s="5">
        <f t="shared" si="18"/>
        <v>250.20000000000002</v>
      </c>
      <c r="N20" s="5">
        <f t="shared" si="18"/>
        <v>323.55</v>
      </c>
      <c r="O20" s="5">
        <f t="shared" si="18"/>
        <v>323.55</v>
      </c>
      <c r="P20" s="5">
        <f t="shared" si="18"/>
        <v>323.55</v>
      </c>
      <c r="Q20" s="5">
        <f t="shared" si="18"/>
        <v>323.55</v>
      </c>
      <c r="R20" s="5">
        <f t="shared" si="18"/>
        <v>323.55</v>
      </c>
      <c r="S20" s="5">
        <f t="shared" si="18"/>
        <v>323.55</v>
      </c>
      <c r="T20" s="16"/>
      <c r="U20" s="5">
        <f>SUM(H20:S20)</f>
        <v>3442.5000000000009</v>
      </c>
    </row>
    <row r="21" spans="1:22" ht="16.5" customHeight="1" x14ac:dyDescent="0.25">
      <c r="A21" s="23" t="s">
        <v>49</v>
      </c>
      <c r="B21" s="24"/>
      <c r="D21" s="23" t="s">
        <v>49</v>
      </c>
      <c r="E21" s="24"/>
      <c r="G21" s="17" t="s">
        <v>50</v>
      </c>
      <c r="H21" s="18">
        <f>H19-H20</f>
        <v>5879.7</v>
      </c>
      <c r="I21" s="18">
        <f t="shared" ref="I21:S21" si="19">I19-I20</f>
        <v>5879.7</v>
      </c>
      <c r="J21" s="18">
        <f t="shared" si="19"/>
        <v>5879.7</v>
      </c>
      <c r="K21" s="18">
        <f t="shared" si="19"/>
        <v>5879.7</v>
      </c>
      <c r="L21" s="18">
        <f t="shared" si="19"/>
        <v>5879.7</v>
      </c>
      <c r="M21" s="18">
        <f t="shared" si="19"/>
        <v>5879.7</v>
      </c>
      <c r="N21" s="18">
        <f t="shared" si="19"/>
        <v>7603.4250000000002</v>
      </c>
      <c r="O21" s="18">
        <f t="shared" si="19"/>
        <v>7603.4250000000002</v>
      </c>
      <c r="P21" s="18">
        <f t="shared" si="19"/>
        <v>7603.4250000000002</v>
      </c>
      <c r="Q21" s="18">
        <f t="shared" si="19"/>
        <v>7603.4250000000002</v>
      </c>
      <c r="R21" s="18">
        <f t="shared" si="19"/>
        <v>7603.4250000000002</v>
      </c>
      <c r="S21" s="18">
        <f t="shared" si="19"/>
        <v>7603.4250000000002</v>
      </c>
      <c r="T21" s="16"/>
      <c r="U21" s="5">
        <f>SUM(H21:S21)</f>
        <v>80898.750000000015</v>
      </c>
    </row>
    <row r="22" spans="1:22" x14ac:dyDescent="0.25">
      <c r="A22" s="3" t="s">
        <v>51</v>
      </c>
      <c r="B22" s="15">
        <f>B2*0.06</f>
        <v>10.008000000000001</v>
      </c>
      <c r="D22" s="3" t="s">
        <v>51</v>
      </c>
      <c r="E22" s="15">
        <f>E2*0.06</f>
        <v>12.941999999999998</v>
      </c>
      <c r="J22" s="19"/>
      <c r="K22" s="19"/>
      <c r="O22" s="19"/>
    </row>
    <row r="23" spans="1:22" x14ac:dyDescent="0.25">
      <c r="A23" s="3" t="s">
        <v>52</v>
      </c>
      <c r="B23" s="15">
        <f>B4/10</f>
        <v>500.4</v>
      </c>
      <c r="D23" s="3" t="s">
        <v>52</v>
      </c>
      <c r="E23" s="15">
        <f>E4/10</f>
        <v>647.1</v>
      </c>
      <c r="J23" s="19"/>
      <c r="K23" s="19"/>
      <c r="O23" s="19"/>
    </row>
    <row r="24" spans="1:22" x14ac:dyDescent="0.25">
      <c r="A24" s="3" t="s">
        <v>53</v>
      </c>
      <c r="B24" s="15">
        <f>B4*0.02</f>
        <v>100.08</v>
      </c>
      <c r="D24" s="3" t="s">
        <v>53</v>
      </c>
      <c r="E24" s="15">
        <f>E4*0.02</f>
        <v>129.42000000000002</v>
      </c>
    </row>
    <row r="25" spans="1:22" x14ac:dyDescent="0.25">
      <c r="A25" s="3" t="s">
        <v>54</v>
      </c>
      <c r="B25" s="15">
        <f>B4*0.3</f>
        <v>1501.2</v>
      </c>
      <c r="D25" s="3" t="s">
        <v>54</v>
      </c>
      <c r="E25" s="15">
        <f>E4*0.3</f>
        <v>1941.3</v>
      </c>
    </row>
    <row r="27" spans="1:22" ht="16.5" customHeight="1" x14ac:dyDescent="0.25">
      <c r="A27" s="23" t="s">
        <v>55</v>
      </c>
      <c r="B27" s="24"/>
      <c r="D27" s="23" t="s">
        <v>55</v>
      </c>
      <c r="E27" s="24"/>
    </row>
    <row r="28" spans="1:22" x14ac:dyDescent="0.25">
      <c r="A28" s="3" t="s">
        <v>51</v>
      </c>
      <c r="B28" s="15">
        <v>34</v>
      </c>
      <c r="D28" s="3" t="s">
        <v>51</v>
      </c>
      <c r="E28" s="15">
        <v>51</v>
      </c>
    </row>
    <row r="29" spans="1:22" x14ac:dyDescent="0.25">
      <c r="A29" s="3" t="s">
        <v>56</v>
      </c>
      <c r="B29" s="15">
        <v>17</v>
      </c>
      <c r="D29" s="3" t="s">
        <v>56</v>
      </c>
      <c r="E29" s="15">
        <v>25.5</v>
      </c>
    </row>
  </sheetData>
  <mergeCells count="10">
    <mergeCell ref="A21:B21"/>
    <mergeCell ref="D21:E21"/>
    <mergeCell ref="A27:B27"/>
    <mergeCell ref="D27:E27"/>
    <mergeCell ref="A1:B1"/>
    <mergeCell ref="D1:E1"/>
    <mergeCell ref="A7:B7"/>
    <mergeCell ref="D7:E7"/>
    <mergeCell ref="A16:B16"/>
    <mergeCell ref="D16:E1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348D8C-4E72-4038-BB57-76352D938BBD}">
  <dimension ref="A1:U29"/>
  <sheetViews>
    <sheetView workbookViewId="0">
      <selection sqref="A1:B1"/>
    </sheetView>
  </sheetViews>
  <sheetFormatPr defaultColWidth="3.7109375" defaultRowHeight="14.25" x14ac:dyDescent="0.25"/>
  <cols>
    <col min="1" max="1" width="36" style="1" bestFit="1" customWidth="1"/>
    <col min="2" max="2" width="10.140625" style="1" bestFit="1" customWidth="1"/>
    <col min="3" max="3" width="5.7109375" style="1" customWidth="1"/>
    <col min="4" max="4" width="36" style="1" bestFit="1" customWidth="1"/>
    <col min="5" max="5" width="10.140625" style="1" bestFit="1" customWidth="1"/>
    <col min="6" max="6" width="5.7109375" style="1" customWidth="1"/>
    <col min="7" max="7" width="22.85546875" style="1" bestFit="1" customWidth="1"/>
    <col min="8" max="9" width="9" style="1" bestFit="1" customWidth="1"/>
    <col min="10" max="19" width="10.140625" style="1" bestFit="1" customWidth="1"/>
    <col min="20" max="20" width="5.7109375" style="1" customWidth="1"/>
    <col min="21" max="21" width="10.140625" style="1" bestFit="1" customWidth="1"/>
    <col min="22" max="22" width="5.7109375" style="1" customWidth="1"/>
    <col min="23" max="16384" width="3.7109375" style="1"/>
  </cols>
  <sheetData>
    <row r="1" spans="1:21" ht="16.5" customHeight="1" x14ac:dyDescent="0.25">
      <c r="A1" s="25" t="s">
        <v>0</v>
      </c>
      <c r="B1" s="25"/>
      <c r="D1" s="25" t="s">
        <v>0</v>
      </c>
      <c r="E1" s="25"/>
      <c r="G1" s="2" t="s">
        <v>57</v>
      </c>
      <c r="H1" s="2" t="s">
        <v>2</v>
      </c>
      <c r="I1" s="2" t="s">
        <v>3</v>
      </c>
      <c r="J1" s="2" t="s">
        <v>4</v>
      </c>
      <c r="K1" s="2" t="s">
        <v>5</v>
      </c>
      <c r="L1" s="2" t="s">
        <v>6</v>
      </c>
      <c r="M1" s="2" t="s">
        <v>7</v>
      </c>
      <c r="N1" s="2" t="s">
        <v>8</v>
      </c>
      <c r="O1" s="2" t="s">
        <v>9</v>
      </c>
      <c r="P1" s="2" t="s">
        <v>10</v>
      </c>
      <c r="Q1" s="2" t="s">
        <v>11</v>
      </c>
      <c r="R1" s="2" t="s">
        <v>12</v>
      </c>
      <c r="S1" s="2" t="s">
        <v>13</v>
      </c>
      <c r="U1" s="2" t="s">
        <v>14</v>
      </c>
    </row>
    <row r="2" spans="1:21" x14ac:dyDescent="0.25">
      <c r="A2" s="3" t="s">
        <v>15</v>
      </c>
      <c r="B2" s="4">
        <v>166.8</v>
      </c>
      <c r="D2" s="3" t="s">
        <v>15</v>
      </c>
      <c r="E2" s="4">
        <v>215.7</v>
      </c>
      <c r="G2" s="3" t="s">
        <v>16</v>
      </c>
      <c r="H2" s="5">
        <v>5004</v>
      </c>
      <c r="I2" s="5">
        <v>5004</v>
      </c>
      <c r="J2" s="5">
        <v>5004</v>
      </c>
      <c r="K2" s="5">
        <v>5004</v>
      </c>
      <c r="L2" s="5">
        <v>5004</v>
      </c>
      <c r="M2" s="5">
        <v>5004</v>
      </c>
      <c r="N2" s="5">
        <v>6471</v>
      </c>
      <c r="O2" s="5">
        <v>6471</v>
      </c>
      <c r="P2" s="5">
        <v>6471</v>
      </c>
      <c r="Q2" s="5">
        <v>6471</v>
      </c>
      <c r="R2" s="5">
        <v>6471</v>
      </c>
      <c r="S2" s="5">
        <v>6471</v>
      </c>
      <c r="U2" s="5">
        <f>SUM(H2:S2)</f>
        <v>68850</v>
      </c>
    </row>
    <row r="3" spans="1:21" x14ac:dyDescent="0.25">
      <c r="A3" s="3" t="s">
        <v>17</v>
      </c>
      <c r="B3" s="4">
        <f>ROUNDUP(B2*7.5,2)</f>
        <v>1251</v>
      </c>
      <c r="D3" s="3" t="s">
        <v>17</v>
      </c>
      <c r="E3" s="4">
        <f>ROUNDUP(E2*7.5,2)</f>
        <v>1617.75</v>
      </c>
      <c r="G3" s="3" t="s">
        <v>18</v>
      </c>
      <c r="H3" s="5">
        <f>+H2</f>
        <v>5004</v>
      </c>
      <c r="I3" s="5">
        <f t="shared" ref="I3:S3" si="0">+I2</f>
        <v>5004</v>
      </c>
      <c r="J3" s="5">
        <f t="shared" si="0"/>
        <v>5004</v>
      </c>
      <c r="K3" s="5">
        <f t="shared" si="0"/>
        <v>5004</v>
      </c>
      <c r="L3" s="5">
        <f t="shared" si="0"/>
        <v>5004</v>
      </c>
      <c r="M3" s="5">
        <f t="shared" si="0"/>
        <v>5004</v>
      </c>
      <c r="N3" s="5">
        <f t="shared" si="0"/>
        <v>6471</v>
      </c>
      <c r="O3" s="5">
        <f t="shared" si="0"/>
        <v>6471</v>
      </c>
      <c r="P3" s="5">
        <f t="shared" si="0"/>
        <v>6471</v>
      </c>
      <c r="Q3" s="5">
        <f t="shared" si="0"/>
        <v>6471</v>
      </c>
      <c r="R3" s="5">
        <f t="shared" si="0"/>
        <v>6471</v>
      </c>
      <c r="S3" s="5">
        <f t="shared" si="0"/>
        <v>6471</v>
      </c>
      <c r="U3" s="5">
        <f>SUM(H3:S3)</f>
        <v>68850</v>
      </c>
    </row>
    <row r="4" spans="1:21" x14ac:dyDescent="0.25">
      <c r="A4" s="3" t="s">
        <v>19</v>
      </c>
      <c r="B4" s="4">
        <f>+B2*30</f>
        <v>5004</v>
      </c>
      <c r="D4" s="3" t="s">
        <v>19</v>
      </c>
      <c r="E4" s="4">
        <f>+E2*30</f>
        <v>6471</v>
      </c>
      <c r="G4" s="3" t="s">
        <v>58</v>
      </c>
      <c r="H4" s="5">
        <f>+H3*0.075</f>
        <v>375.3</v>
      </c>
      <c r="I4" s="5">
        <f t="shared" ref="I4:S4" si="1">+I3*0.075</f>
        <v>375.3</v>
      </c>
      <c r="J4" s="5">
        <f t="shared" si="1"/>
        <v>375.3</v>
      </c>
      <c r="K4" s="5">
        <f t="shared" si="1"/>
        <v>375.3</v>
      </c>
      <c r="L4" s="5">
        <f t="shared" si="1"/>
        <v>375.3</v>
      </c>
      <c r="M4" s="5">
        <f t="shared" si="1"/>
        <v>375.3</v>
      </c>
      <c r="N4" s="5">
        <f>+N3*0.075</f>
        <v>485.32499999999999</v>
      </c>
      <c r="O4" s="5">
        <f t="shared" si="1"/>
        <v>485.32499999999999</v>
      </c>
      <c r="P4" s="5">
        <f t="shared" si="1"/>
        <v>485.32499999999999</v>
      </c>
      <c r="Q4" s="5">
        <f t="shared" si="1"/>
        <v>485.32499999999999</v>
      </c>
      <c r="R4" s="5">
        <f t="shared" si="1"/>
        <v>485.32499999999999</v>
      </c>
      <c r="S4" s="5">
        <f t="shared" si="1"/>
        <v>485.32499999999999</v>
      </c>
      <c r="U4" s="5">
        <f>SUM(H4:S4)</f>
        <v>5163.7499999999991</v>
      </c>
    </row>
    <row r="5" spans="1:21" x14ac:dyDescent="0.25">
      <c r="A5" s="3" t="s">
        <v>21</v>
      </c>
      <c r="B5" s="4">
        <f>B3*30</f>
        <v>37530</v>
      </c>
      <c r="D5" s="3" t="s">
        <v>21</v>
      </c>
      <c r="E5" s="4">
        <f>E3*30</f>
        <v>48532.5</v>
      </c>
      <c r="G5" s="20" t="s">
        <v>25</v>
      </c>
      <c r="H5" s="21">
        <f>H2-H4</f>
        <v>4628.7</v>
      </c>
      <c r="I5" s="21">
        <f t="shared" ref="I5:S5" si="2">I2-I4</f>
        <v>4628.7</v>
      </c>
      <c r="J5" s="21">
        <f t="shared" si="2"/>
        <v>4628.7</v>
      </c>
      <c r="K5" s="21">
        <f t="shared" si="2"/>
        <v>4628.7</v>
      </c>
      <c r="L5" s="21">
        <f t="shared" si="2"/>
        <v>4628.7</v>
      </c>
      <c r="M5" s="21">
        <f t="shared" si="2"/>
        <v>4628.7</v>
      </c>
      <c r="N5" s="21">
        <f>N2-N4</f>
        <v>5985.6750000000002</v>
      </c>
      <c r="O5" s="21">
        <f t="shared" si="2"/>
        <v>5985.6750000000002</v>
      </c>
      <c r="P5" s="21">
        <f t="shared" si="2"/>
        <v>5985.6750000000002</v>
      </c>
      <c r="Q5" s="21">
        <f t="shared" si="2"/>
        <v>5985.6750000000002</v>
      </c>
      <c r="R5" s="21">
        <f t="shared" si="2"/>
        <v>5985.6750000000002</v>
      </c>
      <c r="S5" s="21">
        <f t="shared" si="2"/>
        <v>5985.6750000000002</v>
      </c>
      <c r="U5" s="5">
        <f>SUM(H5:S5)</f>
        <v>63686.250000000015</v>
      </c>
    </row>
    <row r="6" spans="1:21" x14ac:dyDescent="0.25">
      <c r="G6" s="20" t="s">
        <v>27</v>
      </c>
      <c r="H6" s="21">
        <f>H5</f>
        <v>4628.7</v>
      </c>
      <c r="I6" s="21">
        <f t="shared" ref="I6:S6" si="3">H6+I5</f>
        <v>9257.4</v>
      </c>
      <c r="J6" s="21">
        <f t="shared" si="3"/>
        <v>13886.099999999999</v>
      </c>
      <c r="K6" s="21">
        <f t="shared" si="3"/>
        <v>18514.8</v>
      </c>
      <c r="L6" s="21">
        <f t="shared" si="3"/>
        <v>23143.5</v>
      </c>
      <c r="M6" s="21">
        <f t="shared" si="3"/>
        <v>27772.2</v>
      </c>
      <c r="N6" s="21">
        <f t="shared" si="3"/>
        <v>33757.875</v>
      </c>
      <c r="O6" s="21">
        <f t="shared" si="3"/>
        <v>39743.550000000003</v>
      </c>
      <c r="P6" s="21">
        <f t="shared" si="3"/>
        <v>45729.225000000006</v>
      </c>
      <c r="Q6" s="21">
        <f t="shared" si="3"/>
        <v>51714.900000000009</v>
      </c>
      <c r="R6" s="21">
        <f t="shared" si="3"/>
        <v>57700.575000000012</v>
      </c>
      <c r="S6" s="21">
        <f t="shared" si="3"/>
        <v>63686.250000000015</v>
      </c>
    </row>
    <row r="7" spans="1:21" ht="16.5" customHeight="1" x14ac:dyDescent="0.25">
      <c r="A7" s="25" t="s">
        <v>24</v>
      </c>
      <c r="B7" s="25"/>
      <c r="D7" s="25" t="s">
        <v>24</v>
      </c>
      <c r="E7" s="25"/>
      <c r="G7" s="20" t="s">
        <v>29</v>
      </c>
      <c r="H7" s="21">
        <f t="shared" ref="H7:M7" si="4">H5*0.15</f>
        <v>694.30499999999995</v>
      </c>
      <c r="I7" s="21">
        <f t="shared" si="4"/>
        <v>694.30499999999995</v>
      </c>
      <c r="J7" s="21">
        <f t="shared" si="4"/>
        <v>694.30499999999995</v>
      </c>
      <c r="K7" s="21">
        <f t="shared" si="4"/>
        <v>694.30499999999995</v>
      </c>
      <c r="L7" s="21">
        <f t="shared" si="4"/>
        <v>694.30499999999995</v>
      </c>
      <c r="M7" s="21">
        <f t="shared" si="4"/>
        <v>694.30499999999995</v>
      </c>
      <c r="N7" s="21">
        <f>((32000-M6)*0.15)+((N6-32000)*0.2)</f>
        <v>985.74499999999989</v>
      </c>
      <c r="O7" s="21">
        <f>O5*0.2</f>
        <v>1197.135</v>
      </c>
      <c r="P7" s="21">
        <f>P5*0.2</f>
        <v>1197.135</v>
      </c>
      <c r="Q7" s="21">
        <f>Q5*0.2</f>
        <v>1197.135</v>
      </c>
      <c r="R7" s="21">
        <f>R5*0.2</f>
        <v>1197.135</v>
      </c>
      <c r="S7" s="21">
        <f>S5*0.2</f>
        <v>1197.135</v>
      </c>
      <c r="U7" s="5">
        <f>SUM(H7:S7)</f>
        <v>11137.25</v>
      </c>
    </row>
    <row r="8" spans="1:21" x14ac:dyDescent="0.25">
      <c r="A8" s="3" t="s">
        <v>26</v>
      </c>
      <c r="B8" s="8">
        <v>0.15</v>
      </c>
      <c r="D8" s="3" t="s">
        <v>26</v>
      </c>
      <c r="E8" s="8">
        <v>0.15</v>
      </c>
      <c r="G8" s="10" t="s">
        <v>59</v>
      </c>
      <c r="H8" s="11">
        <v>4253.3999999999996</v>
      </c>
      <c r="I8" s="11">
        <v>4253.3999999999996</v>
      </c>
      <c r="J8" s="11">
        <v>4253.3999999999996</v>
      </c>
      <c r="K8" s="11">
        <v>4253.3999999999996</v>
      </c>
      <c r="L8" s="11">
        <v>4253.3999999999996</v>
      </c>
      <c r="M8" s="11">
        <v>4253.3999999999996</v>
      </c>
      <c r="N8" s="11">
        <v>5500.35</v>
      </c>
      <c r="O8" s="11">
        <v>5500.35</v>
      </c>
      <c r="P8" s="11">
        <v>5500.35</v>
      </c>
      <c r="Q8" s="11">
        <v>5500.35</v>
      </c>
      <c r="R8" s="11">
        <v>5500.35</v>
      </c>
      <c r="S8" s="11">
        <v>5500.35</v>
      </c>
      <c r="U8" s="5">
        <f>SUM(H8:S8)</f>
        <v>58522.499999999993</v>
      </c>
    </row>
    <row r="9" spans="1:21" x14ac:dyDescent="0.25">
      <c r="A9" s="3" t="s">
        <v>28</v>
      </c>
      <c r="B9" s="8">
        <v>0.2</v>
      </c>
      <c r="D9" s="3" t="s">
        <v>28</v>
      </c>
      <c r="E9" s="8">
        <v>0.2</v>
      </c>
      <c r="G9" s="10" t="s">
        <v>33</v>
      </c>
      <c r="H9" s="11">
        <f>H8</f>
        <v>4253.3999999999996</v>
      </c>
      <c r="I9" s="11">
        <f>H9+I8</f>
        <v>8506.7999999999993</v>
      </c>
      <c r="J9" s="11">
        <f>I9+J8</f>
        <v>12760.199999999999</v>
      </c>
      <c r="K9" s="11">
        <f t="shared" ref="K9:S9" si="5">J9+K8</f>
        <v>17013.599999999999</v>
      </c>
      <c r="L9" s="11">
        <f t="shared" si="5"/>
        <v>21267</v>
      </c>
      <c r="M9" s="11">
        <f t="shared" si="5"/>
        <v>25520.400000000001</v>
      </c>
      <c r="N9" s="11">
        <f t="shared" si="5"/>
        <v>31020.75</v>
      </c>
      <c r="O9" s="11">
        <f t="shared" si="5"/>
        <v>36521.1</v>
      </c>
      <c r="P9" s="11">
        <f t="shared" si="5"/>
        <v>42021.45</v>
      </c>
      <c r="Q9" s="11">
        <f t="shared" si="5"/>
        <v>47521.799999999996</v>
      </c>
      <c r="R9" s="11">
        <f t="shared" si="5"/>
        <v>53022.149999999994</v>
      </c>
      <c r="S9" s="11">
        <f t="shared" si="5"/>
        <v>58522.499999999993</v>
      </c>
    </row>
    <row r="10" spans="1:21" x14ac:dyDescent="0.25">
      <c r="A10" s="3" t="s">
        <v>30</v>
      </c>
      <c r="B10" s="8">
        <v>0.27</v>
      </c>
      <c r="D10" s="3" t="s">
        <v>30</v>
      </c>
      <c r="E10" s="8">
        <v>0.27</v>
      </c>
      <c r="G10" s="10" t="s">
        <v>35</v>
      </c>
      <c r="H10" s="11">
        <f t="shared" ref="H10:N10" si="6">H8*0.15</f>
        <v>638.00999999999988</v>
      </c>
      <c r="I10" s="11">
        <f t="shared" si="6"/>
        <v>638.00999999999988</v>
      </c>
      <c r="J10" s="11">
        <f t="shared" si="6"/>
        <v>638.00999999999988</v>
      </c>
      <c r="K10" s="11">
        <f t="shared" si="6"/>
        <v>638.00999999999988</v>
      </c>
      <c r="L10" s="11">
        <f t="shared" si="6"/>
        <v>638.00999999999988</v>
      </c>
      <c r="M10" s="11">
        <f t="shared" si="6"/>
        <v>638.00999999999988</v>
      </c>
      <c r="N10" s="11">
        <f t="shared" si="6"/>
        <v>825.05250000000001</v>
      </c>
      <c r="O10" s="11">
        <f>((32000-N9)*0.15)+((O9-32000)*0.2)</f>
        <v>1051.1074999999998</v>
      </c>
      <c r="P10" s="11">
        <f>P8*0.2</f>
        <v>1100.0700000000002</v>
      </c>
      <c r="Q10" s="11">
        <f t="shared" ref="Q10:S10" si="7">Q8*0.2</f>
        <v>1100.0700000000002</v>
      </c>
      <c r="R10" s="11">
        <f t="shared" si="7"/>
        <v>1100.0700000000002</v>
      </c>
      <c r="S10" s="11">
        <f t="shared" si="7"/>
        <v>1100.0700000000002</v>
      </c>
      <c r="U10" s="5">
        <f>SUM(H10:S10)</f>
        <v>10104.499999999998</v>
      </c>
    </row>
    <row r="11" spans="1:21" x14ac:dyDescent="0.25">
      <c r="A11" s="3" t="s">
        <v>32</v>
      </c>
      <c r="B11" s="8">
        <v>0.35</v>
      </c>
      <c r="D11" s="3" t="s">
        <v>32</v>
      </c>
      <c r="E11" s="8">
        <v>0.35</v>
      </c>
      <c r="G11" s="3" t="s">
        <v>36</v>
      </c>
      <c r="H11" s="5">
        <f>H7-H10</f>
        <v>56.295000000000073</v>
      </c>
      <c r="I11" s="5">
        <f>I7-I10</f>
        <v>56.295000000000073</v>
      </c>
      <c r="J11" s="5">
        <f>J7-J10</f>
        <v>56.295000000000073</v>
      </c>
      <c r="K11" s="5">
        <f>K7-K10</f>
        <v>56.295000000000073</v>
      </c>
      <c r="L11" s="5">
        <f>+L7-L10</f>
        <v>56.295000000000073</v>
      </c>
      <c r="M11" s="5">
        <f>+M7-M10</f>
        <v>56.295000000000073</v>
      </c>
      <c r="N11" s="5">
        <f>N7-N10</f>
        <v>160.69249999999988</v>
      </c>
      <c r="O11" s="5">
        <f t="shared" ref="O11:S11" si="8">O7-O10</f>
        <v>146.02750000000015</v>
      </c>
      <c r="P11" s="5">
        <f t="shared" si="8"/>
        <v>97.064999999999827</v>
      </c>
      <c r="Q11" s="5">
        <f t="shared" si="8"/>
        <v>97.064999999999827</v>
      </c>
      <c r="R11" s="5">
        <f t="shared" si="8"/>
        <v>97.064999999999827</v>
      </c>
      <c r="S11" s="5">
        <f t="shared" si="8"/>
        <v>97.064999999999827</v>
      </c>
      <c r="U11" s="5">
        <f>SUM(H11:S11)</f>
        <v>1032.7499999999998</v>
      </c>
    </row>
    <row r="12" spans="1:21" x14ac:dyDescent="0.25">
      <c r="A12" s="3" t="s">
        <v>34</v>
      </c>
      <c r="B12" s="8">
        <v>0.4</v>
      </c>
      <c r="D12" s="3" t="s">
        <v>34</v>
      </c>
      <c r="E12" s="8">
        <v>0.4</v>
      </c>
      <c r="G12" s="3" t="s">
        <v>39</v>
      </c>
      <c r="H12" s="5">
        <f t="shared" ref="H12:M12" si="9">(H2-5004)*0.00759</f>
        <v>0</v>
      </c>
      <c r="I12" s="5">
        <f t="shared" si="9"/>
        <v>0</v>
      </c>
      <c r="J12" s="5">
        <f t="shared" si="9"/>
        <v>0</v>
      </c>
      <c r="K12" s="5">
        <f t="shared" si="9"/>
        <v>0</v>
      </c>
      <c r="L12" s="5">
        <f t="shared" si="9"/>
        <v>0</v>
      </c>
      <c r="M12" s="5">
        <f t="shared" si="9"/>
        <v>0</v>
      </c>
      <c r="N12" s="5">
        <f>(N2-6471)*0.00759</f>
        <v>0</v>
      </c>
      <c r="O12" s="5">
        <f t="shared" ref="O12:S12" si="10">(O2-6471)*0.00759</f>
        <v>0</v>
      </c>
      <c r="P12" s="5">
        <f t="shared" si="10"/>
        <v>0</v>
      </c>
      <c r="Q12" s="5">
        <f t="shared" si="10"/>
        <v>0</v>
      </c>
      <c r="R12" s="5">
        <f t="shared" si="10"/>
        <v>0</v>
      </c>
      <c r="S12" s="5">
        <f t="shared" si="10"/>
        <v>0</v>
      </c>
      <c r="U12" s="5">
        <f>SUM(H12:S12)</f>
        <v>0</v>
      </c>
    </row>
    <row r="13" spans="1:21" x14ac:dyDescent="0.25">
      <c r="G13" s="3" t="s">
        <v>40</v>
      </c>
      <c r="H13" s="5">
        <f t="shared" ref="H13:S13" si="11">H2-H4-H11-H12</f>
        <v>4572.4049999999997</v>
      </c>
      <c r="I13" s="5">
        <f t="shared" si="11"/>
        <v>4572.4049999999997</v>
      </c>
      <c r="J13" s="5">
        <f t="shared" si="11"/>
        <v>4572.4049999999997</v>
      </c>
      <c r="K13" s="5">
        <f t="shared" si="11"/>
        <v>4572.4049999999997</v>
      </c>
      <c r="L13" s="5">
        <f t="shared" si="11"/>
        <v>4572.4049999999997</v>
      </c>
      <c r="M13" s="5">
        <f t="shared" si="11"/>
        <v>4572.4049999999997</v>
      </c>
      <c r="N13" s="5">
        <f t="shared" si="11"/>
        <v>5824.9825000000001</v>
      </c>
      <c r="O13" s="5">
        <f t="shared" si="11"/>
        <v>5839.6475</v>
      </c>
      <c r="P13" s="5">
        <f t="shared" si="11"/>
        <v>5888.6100000000006</v>
      </c>
      <c r="Q13" s="5">
        <f t="shared" si="11"/>
        <v>5888.6100000000006</v>
      </c>
      <c r="R13" s="5">
        <f t="shared" si="11"/>
        <v>5888.6100000000006</v>
      </c>
      <c r="S13" s="5">
        <f t="shared" si="11"/>
        <v>5888.6100000000006</v>
      </c>
      <c r="U13" s="5">
        <f>SUM(H13:S13)/12</f>
        <v>5221.125</v>
      </c>
    </row>
    <row r="14" spans="1:21" ht="16.5" customHeight="1" x14ac:dyDescent="0.25">
      <c r="A14" s="12" t="s">
        <v>37</v>
      </c>
      <c r="B14" s="4">
        <v>10848.59</v>
      </c>
      <c r="D14" s="12" t="s">
        <v>38</v>
      </c>
      <c r="E14" s="4">
        <v>15371.4</v>
      </c>
    </row>
    <row r="15" spans="1:21" x14ac:dyDescent="0.25">
      <c r="G15" s="3" t="s">
        <v>60</v>
      </c>
      <c r="H15" s="5">
        <f>H3*0.245</f>
        <v>1225.98</v>
      </c>
      <c r="I15" s="5">
        <f>I3*0.245</f>
        <v>1225.98</v>
      </c>
      <c r="J15" s="5">
        <f>J3*0.245</f>
        <v>1225.98</v>
      </c>
      <c r="K15" s="5">
        <f t="shared" ref="K15:S15" si="12">K3*0.245</f>
        <v>1225.98</v>
      </c>
      <c r="L15" s="5">
        <f t="shared" si="12"/>
        <v>1225.98</v>
      </c>
      <c r="M15" s="5">
        <f t="shared" si="12"/>
        <v>1225.98</v>
      </c>
      <c r="N15" s="5">
        <f t="shared" si="12"/>
        <v>1585.395</v>
      </c>
      <c r="O15" s="5">
        <f t="shared" si="12"/>
        <v>1585.395</v>
      </c>
      <c r="P15" s="5">
        <f t="shared" si="12"/>
        <v>1585.395</v>
      </c>
      <c r="Q15" s="5">
        <f t="shared" si="12"/>
        <v>1585.395</v>
      </c>
      <c r="R15" s="5">
        <f t="shared" si="12"/>
        <v>1585.395</v>
      </c>
      <c r="S15" s="5">
        <f t="shared" si="12"/>
        <v>1585.395</v>
      </c>
      <c r="U15" s="5">
        <f>SUM(H15:S15)</f>
        <v>16868.25</v>
      </c>
    </row>
    <row r="16" spans="1:21" ht="16.5" customHeight="1" x14ac:dyDescent="0.25">
      <c r="A16" s="23" t="s">
        <v>41</v>
      </c>
      <c r="B16" s="24"/>
      <c r="D16" s="23" t="s">
        <v>41</v>
      </c>
      <c r="E16" s="24"/>
      <c r="G16" s="3" t="s">
        <v>61</v>
      </c>
      <c r="H16" s="5">
        <f>H2+H15</f>
        <v>6229.98</v>
      </c>
      <c r="I16" s="5">
        <f>I2+I15</f>
        <v>6229.98</v>
      </c>
      <c r="J16" s="5">
        <f>J2+J15</f>
        <v>6229.98</v>
      </c>
      <c r="K16" s="5">
        <f t="shared" ref="K16:S16" si="13">K2+K15</f>
        <v>6229.98</v>
      </c>
      <c r="L16" s="5">
        <f t="shared" si="13"/>
        <v>6229.98</v>
      </c>
      <c r="M16" s="5">
        <f t="shared" si="13"/>
        <v>6229.98</v>
      </c>
      <c r="N16" s="5">
        <f t="shared" si="13"/>
        <v>8056.3950000000004</v>
      </c>
      <c r="O16" s="5">
        <f t="shared" si="13"/>
        <v>8056.3950000000004</v>
      </c>
      <c r="P16" s="5">
        <f t="shared" si="13"/>
        <v>8056.3950000000004</v>
      </c>
      <c r="Q16" s="5">
        <f t="shared" si="13"/>
        <v>8056.3950000000004</v>
      </c>
      <c r="R16" s="5">
        <f t="shared" si="13"/>
        <v>8056.3950000000004</v>
      </c>
      <c r="S16" s="5">
        <f t="shared" si="13"/>
        <v>8056.3950000000004</v>
      </c>
      <c r="U16" s="5">
        <f>SUM(H16:S16)</f>
        <v>85718.250000000015</v>
      </c>
    </row>
    <row r="17" spans="1:21" x14ac:dyDescent="0.25">
      <c r="A17" s="3" t="s">
        <v>42</v>
      </c>
      <c r="B17" s="15">
        <v>2000</v>
      </c>
      <c r="D17" s="3" t="s">
        <v>42</v>
      </c>
      <c r="E17" s="15">
        <v>2000</v>
      </c>
    </row>
    <row r="18" spans="1:21" x14ac:dyDescent="0.25">
      <c r="A18" s="3" t="s">
        <v>44</v>
      </c>
      <c r="B18" s="15">
        <v>1170</v>
      </c>
      <c r="D18" s="3" t="s">
        <v>44</v>
      </c>
      <c r="E18" s="15">
        <v>1170</v>
      </c>
      <c r="J18" s="22"/>
      <c r="K18" s="22"/>
      <c r="M18" s="22"/>
      <c r="N18" s="22"/>
    </row>
    <row r="19" spans="1:21" s="16" customFormat="1" x14ac:dyDescent="0.25">
      <c r="A19" s="3" t="s">
        <v>46</v>
      </c>
      <c r="B19" s="15">
        <v>500</v>
      </c>
      <c r="D19" s="3" t="s">
        <v>46</v>
      </c>
      <c r="E19" s="15">
        <v>500</v>
      </c>
      <c r="G19" s="1"/>
      <c r="H19" s="1"/>
      <c r="I19" s="1"/>
      <c r="J19" s="22"/>
      <c r="K19" s="22"/>
      <c r="L19" s="1"/>
      <c r="M19" s="22"/>
      <c r="N19" s="22"/>
      <c r="O19" s="1"/>
      <c r="P19" s="1"/>
      <c r="Q19" s="1"/>
      <c r="R19" s="1"/>
      <c r="S19" s="1"/>
      <c r="U19" s="1"/>
    </row>
    <row r="20" spans="1:21" x14ac:dyDescent="0.25">
      <c r="J20" s="22"/>
      <c r="K20" s="22"/>
      <c r="M20" s="22"/>
      <c r="N20" s="22"/>
    </row>
    <row r="21" spans="1:21" ht="16.5" customHeight="1" x14ac:dyDescent="0.25">
      <c r="A21" s="23" t="s">
        <v>49</v>
      </c>
      <c r="B21" s="24"/>
      <c r="D21" s="23" t="s">
        <v>49</v>
      </c>
      <c r="E21" s="24"/>
      <c r="J21" s="22"/>
      <c r="K21" s="22"/>
    </row>
    <row r="22" spans="1:21" x14ac:dyDescent="0.25">
      <c r="A22" s="3" t="s">
        <v>51</v>
      </c>
      <c r="B22" s="15">
        <f>B2*0.06</f>
        <v>10.008000000000001</v>
      </c>
      <c r="D22" s="3" t="s">
        <v>51</v>
      </c>
      <c r="E22" s="15">
        <f>E2*0.06</f>
        <v>12.941999999999998</v>
      </c>
    </row>
    <row r="23" spans="1:21" x14ac:dyDescent="0.25">
      <c r="A23" s="3" t="s">
        <v>52</v>
      </c>
      <c r="B23" s="15">
        <f>B4/10</f>
        <v>500.4</v>
      </c>
      <c r="D23" s="3" t="s">
        <v>52</v>
      </c>
      <c r="E23" s="15">
        <f>E4/10</f>
        <v>647.1</v>
      </c>
    </row>
    <row r="24" spans="1:21" x14ac:dyDescent="0.25">
      <c r="A24" s="3" t="s">
        <v>53</v>
      </c>
      <c r="B24" s="15">
        <f>B4*0.02</f>
        <v>100.08</v>
      </c>
      <c r="D24" s="3" t="s">
        <v>53</v>
      </c>
      <c r="E24" s="15">
        <f>E4*0.02</f>
        <v>129.42000000000002</v>
      </c>
    </row>
    <row r="25" spans="1:21" x14ac:dyDescent="0.25">
      <c r="A25" s="3" t="s">
        <v>54</v>
      </c>
      <c r="B25" s="15">
        <f>B4*0.3</f>
        <v>1501.2</v>
      </c>
      <c r="D25" s="3" t="s">
        <v>54</v>
      </c>
      <c r="E25" s="15">
        <f>E4*0.3</f>
        <v>1941.3</v>
      </c>
    </row>
    <row r="27" spans="1:21" ht="16.5" customHeight="1" x14ac:dyDescent="0.25">
      <c r="A27" s="23" t="s">
        <v>55</v>
      </c>
      <c r="B27" s="24"/>
      <c r="D27" s="23" t="s">
        <v>55</v>
      </c>
      <c r="E27" s="24"/>
    </row>
    <row r="28" spans="1:21" x14ac:dyDescent="0.25">
      <c r="A28" s="3" t="s">
        <v>51</v>
      </c>
      <c r="B28" s="15">
        <v>34</v>
      </c>
      <c r="D28" s="3" t="s">
        <v>51</v>
      </c>
      <c r="E28" s="15">
        <v>51</v>
      </c>
    </row>
    <row r="29" spans="1:21" x14ac:dyDescent="0.25">
      <c r="A29" s="3" t="s">
        <v>56</v>
      </c>
      <c r="B29" s="15">
        <v>17</v>
      </c>
      <c r="D29" s="3" t="s">
        <v>56</v>
      </c>
      <c r="E29" s="15">
        <v>25.5</v>
      </c>
    </row>
  </sheetData>
  <mergeCells count="10">
    <mergeCell ref="A21:B21"/>
    <mergeCell ref="D21:E21"/>
    <mergeCell ref="A27:B27"/>
    <mergeCell ref="D27:E27"/>
    <mergeCell ref="A1:B1"/>
    <mergeCell ref="D1:E1"/>
    <mergeCell ref="A7:B7"/>
    <mergeCell ref="D7:E7"/>
    <mergeCell ref="A16:B16"/>
    <mergeCell ref="D16:E16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BE0A4-A804-40F8-AA2F-01D1E2936408}">
  <dimension ref="A1:V29"/>
  <sheetViews>
    <sheetView tabSelected="1" workbookViewId="0">
      <selection sqref="A1:B1"/>
    </sheetView>
  </sheetViews>
  <sheetFormatPr defaultRowHeight="14.25" x14ac:dyDescent="0.25"/>
  <cols>
    <col min="1" max="1" width="36" style="1" bestFit="1" customWidth="1"/>
    <col min="2" max="2" width="10.140625" style="1" bestFit="1" customWidth="1"/>
    <col min="3" max="3" width="5.7109375" style="1" customWidth="1"/>
    <col min="4" max="4" width="36" style="1" bestFit="1" customWidth="1"/>
    <col min="5" max="5" width="10.140625" style="1" bestFit="1" customWidth="1"/>
    <col min="6" max="6" width="5.7109375" style="1" customWidth="1"/>
    <col min="7" max="7" width="24.5703125" style="1" bestFit="1" customWidth="1"/>
    <col min="8" max="14" width="10.140625" style="1" bestFit="1" customWidth="1"/>
    <col min="15" max="19" width="11.28515625" style="1" bestFit="1" customWidth="1"/>
    <col min="20" max="20" width="5.7109375" style="1" customWidth="1"/>
    <col min="21" max="21" width="11.28515625" style="1" bestFit="1" customWidth="1"/>
    <col min="22" max="22" width="3.7109375" style="1" customWidth="1"/>
    <col min="23" max="16384" width="9.140625" style="1"/>
  </cols>
  <sheetData>
    <row r="1" spans="1:21" ht="16.5" customHeight="1" x14ac:dyDescent="0.25">
      <c r="A1" s="25" t="s">
        <v>0</v>
      </c>
      <c r="B1" s="25"/>
      <c r="D1" s="25" t="s">
        <v>0</v>
      </c>
      <c r="E1" s="25"/>
      <c r="G1" s="2" t="s">
        <v>1</v>
      </c>
      <c r="H1" s="2" t="s">
        <v>2</v>
      </c>
      <c r="I1" s="2" t="s">
        <v>3</v>
      </c>
      <c r="J1" s="2" t="s">
        <v>4</v>
      </c>
      <c r="K1" s="2" t="s">
        <v>5</v>
      </c>
      <c r="L1" s="2" t="s">
        <v>6</v>
      </c>
      <c r="M1" s="2" t="s">
        <v>7</v>
      </c>
      <c r="N1" s="2" t="s">
        <v>8</v>
      </c>
      <c r="O1" s="2" t="s">
        <v>9</v>
      </c>
      <c r="P1" s="2" t="s">
        <v>10</v>
      </c>
      <c r="Q1" s="2" t="s">
        <v>11</v>
      </c>
      <c r="R1" s="2" t="s">
        <v>12</v>
      </c>
      <c r="S1" s="2" t="s">
        <v>13</v>
      </c>
      <c r="U1" s="2" t="s">
        <v>14</v>
      </c>
    </row>
    <row r="2" spans="1:21" x14ac:dyDescent="0.25">
      <c r="A2" s="3" t="s">
        <v>15</v>
      </c>
      <c r="B2" s="4">
        <v>166.8</v>
      </c>
      <c r="D2" s="3" t="s">
        <v>15</v>
      </c>
      <c r="E2" s="4">
        <v>215.7</v>
      </c>
      <c r="G2" s="3" t="s">
        <v>16</v>
      </c>
      <c r="H2" s="5">
        <v>15000</v>
      </c>
      <c r="I2" s="5">
        <v>15000</v>
      </c>
      <c r="J2" s="5">
        <v>15000</v>
      </c>
      <c r="K2" s="5">
        <v>15000</v>
      </c>
      <c r="L2" s="5">
        <v>15000</v>
      </c>
      <c r="M2" s="5">
        <v>15000</v>
      </c>
      <c r="N2" s="5">
        <v>15000</v>
      </c>
      <c r="O2" s="5">
        <v>15000</v>
      </c>
      <c r="P2" s="5">
        <v>15000</v>
      </c>
      <c r="Q2" s="5">
        <v>15000</v>
      </c>
      <c r="R2" s="5">
        <v>15000</v>
      </c>
      <c r="S2" s="5">
        <v>15000</v>
      </c>
      <c r="U2" s="5">
        <f t="shared" ref="U2:U7" si="0">SUM(H2:S2)</f>
        <v>180000</v>
      </c>
    </row>
    <row r="3" spans="1:21" x14ac:dyDescent="0.25">
      <c r="A3" s="3" t="s">
        <v>17</v>
      </c>
      <c r="B3" s="4">
        <f>ROUNDUP(B2*7.5,2)</f>
        <v>1251</v>
      </c>
      <c r="D3" s="3" t="s">
        <v>17</v>
      </c>
      <c r="E3" s="4">
        <f>ROUNDUP(E2*7.5,2)</f>
        <v>1617.75</v>
      </c>
      <c r="G3" s="3" t="s">
        <v>18</v>
      </c>
      <c r="H3" s="5">
        <f>+H2</f>
        <v>15000</v>
      </c>
      <c r="I3" s="5">
        <f t="shared" ref="I3:S3" si="1">+I2</f>
        <v>15000</v>
      </c>
      <c r="J3" s="5">
        <f t="shared" si="1"/>
        <v>15000</v>
      </c>
      <c r="K3" s="5">
        <f t="shared" si="1"/>
        <v>15000</v>
      </c>
      <c r="L3" s="5">
        <f t="shared" si="1"/>
        <v>15000</v>
      </c>
      <c r="M3" s="5">
        <f t="shared" si="1"/>
        <v>15000</v>
      </c>
      <c r="N3" s="5">
        <f t="shared" si="1"/>
        <v>15000</v>
      </c>
      <c r="O3" s="5">
        <f t="shared" si="1"/>
        <v>15000</v>
      </c>
      <c r="P3" s="5">
        <f t="shared" si="1"/>
        <v>15000</v>
      </c>
      <c r="Q3" s="5">
        <f t="shared" si="1"/>
        <v>15000</v>
      </c>
      <c r="R3" s="5">
        <f t="shared" si="1"/>
        <v>15000</v>
      </c>
      <c r="S3" s="5">
        <f t="shared" si="1"/>
        <v>15000</v>
      </c>
      <c r="U3" s="5">
        <f t="shared" si="0"/>
        <v>180000</v>
      </c>
    </row>
    <row r="4" spans="1:21" x14ac:dyDescent="0.25">
      <c r="A4" s="3" t="s">
        <v>19</v>
      </c>
      <c r="B4" s="4">
        <f>+B2*30</f>
        <v>5004</v>
      </c>
      <c r="D4" s="3" t="s">
        <v>19</v>
      </c>
      <c r="E4" s="4">
        <f>+E2*30</f>
        <v>6471</v>
      </c>
      <c r="G4" s="3" t="s">
        <v>20</v>
      </c>
      <c r="H4" s="5">
        <f>H3*0.14</f>
        <v>2100</v>
      </c>
      <c r="I4" s="5">
        <f t="shared" ref="I4:S4" si="2">I3*0.14</f>
        <v>2100</v>
      </c>
      <c r="J4" s="5">
        <f t="shared" si="2"/>
        <v>2100</v>
      </c>
      <c r="K4" s="5">
        <f t="shared" si="2"/>
        <v>2100</v>
      </c>
      <c r="L4" s="5">
        <f t="shared" si="2"/>
        <v>2100</v>
      </c>
      <c r="M4" s="5">
        <f t="shared" si="2"/>
        <v>2100</v>
      </c>
      <c r="N4" s="5">
        <f t="shared" si="2"/>
        <v>2100</v>
      </c>
      <c r="O4" s="5">
        <f t="shared" si="2"/>
        <v>2100</v>
      </c>
      <c r="P4" s="5">
        <f t="shared" si="2"/>
        <v>2100</v>
      </c>
      <c r="Q4" s="5">
        <f t="shared" si="2"/>
        <v>2100</v>
      </c>
      <c r="R4" s="5">
        <f t="shared" si="2"/>
        <v>2100</v>
      </c>
      <c r="S4" s="5">
        <f t="shared" si="2"/>
        <v>2100</v>
      </c>
      <c r="U4" s="5">
        <f t="shared" si="0"/>
        <v>25200</v>
      </c>
    </row>
    <row r="5" spans="1:21" x14ac:dyDescent="0.25">
      <c r="A5" s="3" t="s">
        <v>21</v>
      </c>
      <c r="B5" s="4">
        <f>B3*30</f>
        <v>37530</v>
      </c>
      <c r="D5" s="3" t="s">
        <v>21</v>
      </c>
      <c r="E5" s="4">
        <f>E3*30</f>
        <v>48532.5</v>
      </c>
      <c r="G5" s="3" t="s">
        <v>22</v>
      </c>
      <c r="H5" s="5">
        <f>H3*0.01</f>
        <v>150</v>
      </c>
      <c r="I5" s="5">
        <f t="shared" ref="I5:S5" si="3">I3*0.01</f>
        <v>150</v>
      </c>
      <c r="J5" s="5">
        <f t="shared" si="3"/>
        <v>150</v>
      </c>
      <c r="K5" s="5">
        <f t="shared" si="3"/>
        <v>150</v>
      </c>
      <c r="L5" s="5">
        <f t="shared" si="3"/>
        <v>150</v>
      </c>
      <c r="M5" s="5">
        <f t="shared" si="3"/>
        <v>150</v>
      </c>
      <c r="N5" s="5">
        <f t="shared" si="3"/>
        <v>150</v>
      </c>
      <c r="O5" s="5">
        <f t="shared" si="3"/>
        <v>150</v>
      </c>
      <c r="P5" s="5">
        <f t="shared" si="3"/>
        <v>150</v>
      </c>
      <c r="Q5" s="5">
        <f t="shared" si="3"/>
        <v>150</v>
      </c>
      <c r="R5" s="5">
        <f t="shared" si="3"/>
        <v>150</v>
      </c>
      <c r="S5" s="5">
        <f t="shared" si="3"/>
        <v>150</v>
      </c>
      <c r="U5" s="5">
        <f t="shared" si="0"/>
        <v>1800</v>
      </c>
    </row>
    <row r="6" spans="1:21" x14ac:dyDescent="0.25">
      <c r="G6" s="3" t="s">
        <v>23</v>
      </c>
      <c r="H6" s="5">
        <f>H4+H5</f>
        <v>2250</v>
      </c>
      <c r="I6" s="5">
        <f t="shared" ref="I6:S6" si="4">I4+I5</f>
        <v>2250</v>
      </c>
      <c r="J6" s="5">
        <f t="shared" si="4"/>
        <v>2250</v>
      </c>
      <c r="K6" s="5">
        <f t="shared" si="4"/>
        <v>2250</v>
      </c>
      <c r="L6" s="5">
        <f t="shared" si="4"/>
        <v>2250</v>
      </c>
      <c r="M6" s="5">
        <f t="shared" si="4"/>
        <v>2250</v>
      </c>
      <c r="N6" s="5">
        <f t="shared" si="4"/>
        <v>2250</v>
      </c>
      <c r="O6" s="5">
        <f t="shared" si="4"/>
        <v>2250</v>
      </c>
      <c r="P6" s="5">
        <f t="shared" si="4"/>
        <v>2250</v>
      </c>
      <c r="Q6" s="5">
        <f t="shared" si="4"/>
        <v>2250</v>
      </c>
      <c r="R6" s="5">
        <f t="shared" si="4"/>
        <v>2250</v>
      </c>
      <c r="S6" s="5">
        <f t="shared" si="4"/>
        <v>2250</v>
      </c>
      <c r="U6" s="5">
        <f t="shared" si="0"/>
        <v>27000</v>
      </c>
    </row>
    <row r="7" spans="1:21" ht="16.5" customHeight="1" x14ac:dyDescent="0.25">
      <c r="A7" s="25" t="s">
        <v>24</v>
      </c>
      <c r="B7" s="25"/>
      <c r="D7" s="25" t="s">
        <v>24</v>
      </c>
      <c r="E7" s="25"/>
      <c r="G7" s="6" t="s">
        <v>25</v>
      </c>
      <c r="H7" s="7">
        <f>H2-H6</f>
        <v>12750</v>
      </c>
      <c r="I7" s="7">
        <f>I2-I6</f>
        <v>12750</v>
      </c>
      <c r="J7" s="7">
        <f>J2-J6</f>
        <v>12750</v>
      </c>
      <c r="K7" s="7">
        <f>K2-K6</f>
        <v>12750</v>
      </c>
      <c r="L7" s="7">
        <f t="shared" ref="L7:S7" si="5">L2-L6</f>
        <v>12750</v>
      </c>
      <c r="M7" s="7">
        <f t="shared" si="5"/>
        <v>12750</v>
      </c>
      <c r="N7" s="7">
        <f t="shared" si="5"/>
        <v>12750</v>
      </c>
      <c r="O7" s="7">
        <f t="shared" si="5"/>
        <v>12750</v>
      </c>
      <c r="P7" s="7">
        <f t="shared" si="5"/>
        <v>12750</v>
      </c>
      <c r="Q7" s="7">
        <f t="shared" si="5"/>
        <v>12750</v>
      </c>
      <c r="R7" s="7">
        <f t="shared" si="5"/>
        <v>12750</v>
      </c>
      <c r="S7" s="7">
        <f t="shared" si="5"/>
        <v>12750</v>
      </c>
      <c r="U7" s="5">
        <f t="shared" si="0"/>
        <v>153000</v>
      </c>
    </row>
    <row r="8" spans="1:21" x14ac:dyDescent="0.25">
      <c r="A8" s="3" t="s">
        <v>26</v>
      </c>
      <c r="B8" s="8">
        <v>0.15</v>
      </c>
      <c r="D8" s="3" t="s">
        <v>26</v>
      </c>
      <c r="E8" s="8">
        <v>0.15</v>
      </c>
      <c r="G8" s="6" t="s">
        <v>27</v>
      </c>
      <c r="H8" s="7">
        <f>H7</f>
        <v>12750</v>
      </c>
      <c r="I8" s="7">
        <f>+H8+I7</f>
        <v>25500</v>
      </c>
      <c r="J8" s="7">
        <f t="shared" ref="J8:S8" si="6">I8+J7</f>
        <v>38250</v>
      </c>
      <c r="K8" s="7">
        <f t="shared" si="6"/>
        <v>51000</v>
      </c>
      <c r="L8" s="7">
        <f t="shared" si="6"/>
        <v>63750</v>
      </c>
      <c r="M8" s="7">
        <f t="shared" si="6"/>
        <v>76500</v>
      </c>
      <c r="N8" s="7">
        <f t="shared" si="6"/>
        <v>89250</v>
      </c>
      <c r="O8" s="7">
        <f t="shared" si="6"/>
        <v>102000</v>
      </c>
      <c r="P8" s="7">
        <f t="shared" si="6"/>
        <v>114750</v>
      </c>
      <c r="Q8" s="7">
        <f t="shared" si="6"/>
        <v>127500</v>
      </c>
      <c r="R8" s="7">
        <f t="shared" si="6"/>
        <v>140250</v>
      </c>
      <c r="S8" s="7">
        <f t="shared" si="6"/>
        <v>153000</v>
      </c>
      <c r="U8" s="9"/>
    </row>
    <row r="9" spans="1:21" x14ac:dyDescent="0.25">
      <c r="A9" s="3" t="s">
        <v>28</v>
      </c>
      <c r="B9" s="8">
        <v>0.2</v>
      </c>
      <c r="D9" s="3" t="s">
        <v>28</v>
      </c>
      <c r="E9" s="8">
        <v>0.2</v>
      </c>
      <c r="G9" s="3" t="s">
        <v>29</v>
      </c>
      <c r="H9" s="5">
        <f t="shared" ref="H9:I9" si="7">H7*0.15</f>
        <v>1912.5</v>
      </c>
      <c r="I9" s="5">
        <f t="shared" si="7"/>
        <v>1912.5</v>
      </c>
      <c r="J9" s="5">
        <f>((32000-I8)*0.15)+((J8-32000)*0.2)</f>
        <v>2225</v>
      </c>
      <c r="K9" s="5">
        <f>K7*0.2</f>
        <v>2550</v>
      </c>
      <c r="L9" s="5">
        <f>L7*0.2</f>
        <v>2550</v>
      </c>
      <c r="M9" s="5">
        <f>((70000-L8)*0.2)+((M8-70000)*0.27)</f>
        <v>3005</v>
      </c>
      <c r="N9" s="5">
        <f>N7*0.27</f>
        <v>3442.5</v>
      </c>
      <c r="O9" s="5">
        <f t="shared" ref="O9:S9" si="8">O7*0.27</f>
        <v>3442.5</v>
      </c>
      <c r="P9" s="5">
        <f t="shared" si="8"/>
        <v>3442.5</v>
      </c>
      <c r="Q9" s="5">
        <f t="shared" si="8"/>
        <v>3442.5</v>
      </c>
      <c r="R9" s="5">
        <f t="shared" si="8"/>
        <v>3442.5</v>
      </c>
      <c r="S9" s="5">
        <f t="shared" si="8"/>
        <v>3442.5</v>
      </c>
    </row>
    <row r="10" spans="1:21" x14ac:dyDescent="0.25">
      <c r="A10" s="3" t="s">
        <v>30</v>
      </c>
      <c r="B10" s="8">
        <v>0.27</v>
      </c>
      <c r="D10" s="3" t="s">
        <v>30</v>
      </c>
      <c r="E10" s="8">
        <v>0.27</v>
      </c>
      <c r="G10" s="6" t="s">
        <v>31</v>
      </c>
      <c r="H10" s="7">
        <v>4253.3999999999996</v>
      </c>
      <c r="I10" s="7">
        <v>4253.3999999999996</v>
      </c>
      <c r="J10" s="7">
        <v>4253.3999999999996</v>
      </c>
      <c r="K10" s="7">
        <v>4253.3999999999996</v>
      </c>
      <c r="L10" s="7">
        <v>4253.3999999999996</v>
      </c>
      <c r="M10" s="7">
        <v>4253.3999999999996</v>
      </c>
      <c r="N10" s="7">
        <v>5500.35</v>
      </c>
      <c r="O10" s="7">
        <v>5500.35</v>
      </c>
      <c r="P10" s="7">
        <v>5500.35</v>
      </c>
      <c r="Q10" s="7">
        <v>5500.35</v>
      </c>
      <c r="R10" s="7">
        <v>5500.35</v>
      </c>
      <c r="S10" s="7">
        <v>5500.35</v>
      </c>
      <c r="U10" s="5">
        <f>SUM(H10:S10)</f>
        <v>58522.499999999993</v>
      </c>
    </row>
    <row r="11" spans="1:21" x14ac:dyDescent="0.25">
      <c r="A11" s="3" t="s">
        <v>32</v>
      </c>
      <c r="B11" s="8">
        <v>0.35</v>
      </c>
      <c r="D11" s="3" t="s">
        <v>32</v>
      </c>
      <c r="E11" s="8">
        <v>0.35</v>
      </c>
      <c r="G11" s="6" t="s">
        <v>33</v>
      </c>
      <c r="H11" s="7">
        <f>H10</f>
        <v>4253.3999999999996</v>
      </c>
      <c r="I11" s="7">
        <f>+H11+I10</f>
        <v>8506.7999999999993</v>
      </c>
      <c r="J11" s="7">
        <f t="shared" ref="J11:S11" si="9">I11+J10</f>
        <v>12760.199999999999</v>
      </c>
      <c r="K11" s="7">
        <f t="shared" si="9"/>
        <v>17013.599999999999</v>
      </c>
      <c r="L11" s="7">
        <f t="shared" si="9"/>
        <v>21267</v>
      </c>
      <c r="M11" s="7">
        <f t="shared" si="9"/>
        <v>25520.400000000001</v>
      </c>
      <c r="N11" s="7">
        <f t="shared" si="9"/>
        <v>31020.75</v>
      </c>
      <c r="O11" s="7">
        <f t="shared" si="9"/>
        <v>36521.1</v>
      </c>
      <c r="P11" s="7">
        <f t="shared" si="9"/>
        <v>42021.45</v>
      </c>
      <c r="Q11" s="7">
        <f t="shared" si="9"/>
        <v>47521.799999999996</v>
      </c>
      <c r="R11" s="7">
        <f t="shared" si="9"/>
        <v>53022.149999999994</v>
      </c>
      <c r="S11" s="7">
        <f t="shared" si="9"/>
        <v>58522.499999999993</v>
      </c>
      <c r="U11" s="9"/>
    </row>
    <row r="12" spans="1:21" x14ac:dyDescent="0.25">
      <c r="A12" s="3" t="s">
        <v>34</v>
      </c>
      <c r="B12" s="8">
        <v>0.4</v>
      </c>
      <c r="D12" s="3" t="s">
        <v>34</v>
      </c>
      <c r="E12" s="8">
        <v>0.4</v>
      </c>
      <c r="G12" s="10" t="s">
        <v>35</v>
      </c>
      <c r="H12" s="11">
        <f t="shared" ref="H12:M12" si="10">H10*0.15</f>
        <v>638.00999999999988</v>
      </c>
      <c r="I12" s="11">
        <f t="shared" si="10"/>
        <v>638.00999999999988</v>
      </c>
      <c r="J12" s="11">
        <f t="shared" si="10"/>
        <v>638.00999999999988</v>
      </c>
      <c r="K12" s="11">
        <f t="shared" si="10"/>
        <v>638.00999999999988</v>
      </c>
      <c r="L12" s="11">
        <f t="shared" si="10"/>
        <v>638.00999999999988</v>
      </c>
      <c r="M12" s="11">
        <f t="shared" si="10"/>
        <v>638.00999999999988</v>
      </c>
      <c r="N12" s="11">
        <f>N10*0.15</f>
        <v>825.05250000000001</v>
      </c>
      <c r="O12" s="11">
        <f>((32000-N11)*0.15)+((O11-32000)*0.2)</f>
        <v>1051.1074999999998</v>
      </c>
      <c r="P12" s="11">
        <f>P10*0.2</f>
        <v>1100.0700000000002</v>
      </c>
      <c r="Q12" s="11">
        <f t="shared" ref="Q12:S12" si="11">Q10*0.2</f>
        <v>1100.0700000000002</v>
      </c>
      <c r="R12" s="11">
        <f t="shared" si="11"/>
        <v>1100.0700000000002</v>
      </c>
      <c r="S12" s="11">
        <f t="shared" si="11"/>
        <v>1100.0700000000002</v>
      </c>
      <c r="U12" s="11">
        <f>SUM(H12:S12)</f>
        <v>10104.499999999998</v>
      </c>
    </row>
    <row r="13" spans="1:21" x14ac:dyDescent="0.25">
      <c r="G13" s="3" t="s">
        <v>36</v>
      </c>
      <c r="H13" s="5">
        <f>H9-H12</f>
        <v>1274.4900000000002</v>
      </c>
      <c r="I13" s="5">
        <f t="shared" ref="I13:S13" si="12">I9-I12</f>
        <v>1274.4900000000002</v>
      </c>
      <c r="J13" s="5">
        <f t="shared" si="12"/>
        <v>1586.9900000000002</v>
      </c>
      <c r="K13" s="5">
        <f t="shared" si="12"/>
        <v>1911.9900000000002</v>
      </c>
      <c r="L13" s="5">
        <f t="shared" si="12"/>
        <v>1911.9900000000002</v>
      </c>
      <c r="M13" s="5">
        <f t="shared" si="12"/>
        <v>2366.9900000000002</v>
      </c>
      <c r="N13" s="5">
        <f>N9-N12</f>
        <v>2617.4475000000002</v>
      </c>
      <c r="O13" s="5">
        <f t="shared" si="12"/>
        <v>2391.3924999999999</v>
      </c>
      <c r="P13" s="5">
        <f>P9-P12</f>
        <v>2342.4299999999998</v>
      </c>
      <c r="Q13" s="5">
        <f t="shared" si="12"/>
        <v>2342.4299999999998</v>
      </c>
      <c r="R13" s="5">
        <f t="shared" si="12"/>
        <v>2342.4299999999998</v>
      </c>
      <c r="S13" s="5">
        <f t="shared" si="12"/>
        <v>2342.4299999999998</v>
      </c>
      <c r="U13" s="5">
        <f>SUM(H13:S13)</f>
        <v>24705.5</v>
      </c>
    </row>
    <row r="14" spans="1:21" ht="16.5" customHeight="1" x14ac:dyDescent="0.25">
      <c r="A14" s="12" t="s">
        <v>37</v>
      </c>
      <c r="B14" s="4">
        <v>10848.59</v>
      </c>
      <c r="D14" s="12" t="s">
        <v>38</v>
      </c>
      <c r="E14" s="4">
        <v>15371.4</v>
      </c>
      <c r="G14" s="3" t="s">
        <v>39</v>
      </c>
      <c r="H14" s="5">
        <f>(H2-5004)*0.00759</f>
        <v>75.869640000000004</v>
      </c>
      <c r="I14" s="5">
        <f t="shared" ref="I14:M14" si="13">(I2-5004)*0.00759</f>
        <v>75.869640000000004</v>
      </c>
      <c r="J14" s="5">
        <f t="shared" si="13"/>
        <v>75.869640000000004</v>
      </c>
      <c r="K14" s="5">
        <f t="shared" si="13"/>
        <v>75.869640000000004</v>
      </c>
      <c r="L14" s="5">
        <f t="shared" si="13"/>
        <v>75.869640000000004</v>
      </c>
      <c r="M14" s="5">
        <f t="shared" si="13"/>
        <v>75.869640000000004</v>
      </c>
      <c r="N14" s="5">
        <f>(N2-6471)*0.00759</f>
        <v>64.735110000000006</v>
      </c>
      <c r="O14" s="5">
        <f t="shared" ref="O14:S14" si="14">(O2-6471)*0.00759</f>
        <v>64.735110000000006</v>
      </c>
      <c r="P14" s="5">
        <f t="shared" si="14"/>
        <v>64.735110000000006</v>
      </c>
      <c r="Q14" s="5">
        <f t="shared" si="14"/>
        <v>64.735110000000006</v>
      </c>
      <c r="R14" s="5">
        <f t="shared" si="14"/>
        <v>64.735110000000006</v>
      </c>
      <c r="S14" s="5">
        <f t="shared" si="14"/>
        <v>64.735110000000006</v>
      </c>
      <c r="U14" s="5">
        <f>SUM(H14:S14)</f>
        <v>843.6284999999998</v>
      </c>
    </row>
    <row r="15" spans="1:21" x14ac:dyDescent="0.25">
      <c r="G15" s="13" t="s">
        <v>40</v>
      </c>
      <c r="H15" s="14">
        <f t="shared" ref="H15:S15" si="15">H2-H6-H13-H14</f>
        <v>11399.640359999999</v>
      </c>
      <c r="I15" s="14">
        <f t="shared" si="15"/>
        <v>11399.640359999999</v>
      </c>
      <c r="J15" s="14">
        <f t="shared" si="15"/>
        <v>11087.140359999999</v>
      </c>
      <c r="K15" s="14">
        <f t="shared" si="15"/>
        <v>10762.140359999999</v>
      </c>
      <c r="L15" s="14">
        <f t="shared" si="15"/>
        <v>10762.140359999999</v>
      </c>
      <c r="M15" s="14">
        <f t="shared" si="15"/>
        <v>10307.140359999999</v>
      </c>
      <c r="N15" s="14">
        <f>N2-N6-N13-N14</f>
        <v>10067.81739</v>
      </c>
      <c r="O15" s="14">
        <f t="shared" si="15"/>
        <v>10293.87239</v>
      </c>
      <c r="P15" s="14">
        <f t="shared" si="15"/>
        <v>10342.83489</v>
      </c>
      <c r="Q15" s="14">
        <f t="shared" si="15"/>
        <v>10342.83489</v>
      </c>
      <c r="R15" s="14">
        <f t="shared" si="15"/>
        <v>10342.83489</v>
      </c>
      <c r="S15" s="14">
        <f t="shared" si="15"/>
        <v>10342.83489</v>
      </c>
      <c r="U15" s="14">
        <f>SUM(H15:S15)/12</f>
        <v>10620.905958333333</v>
      </c>
    </row>
    <row r="16" spans="1:21" ht="16.5" customHeight="1" x14ac:dyDescent="0.25">
      <c r="A16" s="23" t="s">
        <v>41</v>
      </c>
      <c r="B16" s="24"/>
      <c r="D16" s="23" t="s">
        <v>41</v>
      </c>
      <c r="E16" s="24"/>
    </row>
    <row r="17" spans="1:22" x14ac:dyDescent="0.25">
      <c r="A17" s="3" t="s">
        <v>42</v>
      </c>
      <c r="B17" s="15">
        <v>2000</v>
      </c>
      <c r="D17" s="3" t="s">
        <v>42</v>
      </c>
      <c r="E17" s="15">
        <v>2000</v>
      </c>
      <c r="G17" s="3" t="s">
        <v>43</v>
      </c>
      <c r="H17" s="5">
        <f>+H3*0.205</f>
        <v>3075</v>
      </c>
      <c r="I17" s="5">
        <f>+I3*0.205</f>
        <v>3075</v>
      </c>
      <c r="J17" s="5">
        <f>+J3*0.205</f>
        <v>3075</v>
      </c>
      <c r="K17" s="5">
        <f>+K3*0.205</f>
        <v>3075</v>
      </c>
      <c r="L17" s="5">
        <f>+L3*0.205</f>
        <v>3075</v>
      </c>
      <c r="M17" s="5">
        <f t="shared" ref="M17:S17" si="16">+M3*0.205</f>
        <v>3075</v>
      </c>
      <c r="N17" s="5">
        <f t="shared" si="16"/>
        <v>3075</v>
      </c>
      <c r="O17" s="5">
        <f t="shared" si="16"/>
        <v>3075</v>
      </c>
      <c r="P17" s="5">
        <f t="shared" si="16"/>
        <v>3075</v>
      </c>
      <c r="Q17" s="5">
        <f t="shared" si="16"/>
        <v>3075</v>
      </c>
      <c r="R17" s="5">
        <f t="shared" si="16"/>
        <v>3075</v>
      </c>
      <c r="S17" s="5">
        <f t="shared" si="16"/>
        <v>3075</v>
      </c>
      <c r="U17" s="5">
        <f>SUM(H17:S17)</f>
        <v>36900</v>
      </c>
    </row>
    <row r="18" spans="1:22" x14ac:dyDescent="0.25">
      <c r="A18" s="3" t="s">
        <v>44</v>
      </c>
      <c r="B18" s="15">
        <v>1170</v>
      </c>
      <c r="D18" s="3" t="s">
        <v>44</v>
      </c>
      <c r="E18" s="15">
        <v>1170</v>
      </c>
      <c r="G18" s="3" t="s">
        <v>45</v>
      </c>
      <c r="H18" s="5">
        <f>+H3*0.02</f>
        <v>300</v>
      </c>
      <c r="I18" s="5">
        <f>+I3*0.02</f>
        <v>300</v>
      </c>
      <c r="J18" s="5">
        <f>+J3*0.02</f>
        <v>300</v>
      </c>
      <c r="K18" s="5">
        <f>+K3*0.02</f>
        <v>300</v>
      </c>
      <c r="L18" s="5">
        <f>+L3*0.02</f>
        <v>300</v>
      </c>
      <c r="M18" s="5">
        <f t="shared" ref="M18:S18" si="17">+M3*0.02</f>
        <v>300</v>
      </c>
      <c r="N18" s="5">
        <f t="shared" si="17"/>
        <v>300</v>
      </c>
      <c r="O18" s="5">
        <f t="shared" si="17"/>
        <v>300</v>
      </c>
      <c r="P18" s="5">
        <f t="shared" si="17"/>
        <v>300</v>
      </c>
      <c r="Q18" s="5">
        <f t="shared" si="17"/>
        <v>300</v>
      </c>
      <c r="R18" s="5">
        <f t="shared" si="17"/>
        <v>300</v>
      </c>
      <c r="S18" s="5">
        <f t="shared" si="17"/>
        <v>300</v>
      </c>
      <c r="U18" s="5">
        <f>SUM(H18:S18)</f>
        <v>3600</v>
      </c>
    </row>
    <row r="19" spans="1:22" x14ac:dyDescent="0.25">
      <c r="A19" s="3" t="s">
        <v>46</v>
      </c>
      <c r="B19" s="15">
        <v>500</v>
      </c>
      <c r="C19" s="16"/>
      <c r="D19" s="3" t="s">
        <v>46</v>
      </c>
      <c r="E19" s="15">
        <v>500</v>
      </c>
      <c r="F19" s="16"/>
      <c r="G19" s="17" t="s">
        <v>47</v>
      </c>
      <c r="H19" s="18">
        <f>+H2+H17+H18</f>
        <v>18375</v>
      </c>
      <c r="I19" s="18">
        <f>I2+I17+I18</f>
        <v>18375</v>
      </c>
      <c r="J19" s="18">
        <f>J2+J17+J18</f>
        <v>18375</v>
      </c>
      <c r="K19" s="18">
        <f>K2+K17+K18</f>
        <v>18375</v>
      </c>
      <c r="L19" s="18">
        <f>L2+L17+L18</f>
        <v>18375</v>
      </c>
      <c r="M19" s="18">
        <f t="shared" ref="M19:S19" si="18">M2+M17+M18</f>
        <v>18375</v>
      </c>
      <c r="N19" s="18">
        <f t="shared" si="18"/>
        <v>18375</v>
      </c>
      <c r="O19" s="18">
        <f t="shared" si="18"/>
        <v>18375</v>
      </c>
      <c r="P19" s="18">
        <f t="shared" si="18"/>
        <v>18375</v>
      </c>
      <c r="Q19" s="18">
        <f t="shared" si="18"/>
        <v>18375</v>
      </c>
      <c r="R19" s="18">
        <f t="shared" si="18"/>
        <v>18375</v>
      </c>
      <c r="S19" s="18">
        <f t="shared" si="18"/>
        <v>18375</v>
      </c>
      <c r="T19" s="16"/>
      <c r="U19" s="5">
        <f>SUM(H19:S19)</f>
        <v>220500</v>
      </c>
      <c r="V19" s="16"/>
    </row>
    <row r="20" spans="1:22" x14ac:dyDescent="0.25">
      <c r="G20" s="3" t="s">
        <v>48</v>
      </c>
      <c r="H20" s="5">
        <f>H3*0.05</f>
        <v>750</v>
      </c>
      <c r="I20" s="5">
        <f t="shared" ref="I20:S20" si="19">I3*0.05</f>
        <v>750</v>
      </c>
      <c r="J20" s="5">
        <f t="shared" si="19"/>
        <v>750</v>
      </c>
      <c r="K20" s="5">
        <f t="shared" si="19"/>
        <v>750</v>
      </c>
      <c r="L20" s="5">
        <f t="shared" si="19"/>
        <v>750</v>
      </c>
      <c r="M20" s="5">
        <f t="shared" si="19"/>
        <v>750</v>
      </c>
      <c r="N20" s="5">
        <f t="shared" si="19"/>
        <v>750</v>
      </c>
      <c r="O20" s="5">
        <f t="shared" si="19"/>
        <v>750</v>
      </c>
      <c r="P20" s="5">
        <f t="shared" si="19"/>
        <v>750</v>
      </c>
      <c r="Q20" s="5">
        <f t="shared" si="19"/>
        <v>750</v>
      </c>
      <c r="R20" s="5">
        <f t="shared" si="19"/>
        <v>750</v>
      </c>
      <c r="S20" s="5">
        <f t="shared" si="19"/>
        <v>750</v>
      </c>
      <c r="U20" s="5">
        <f>SUM(H20:S20)</f>
        <v>9000</v>
      </c>
    </row>
    <row r="21" spans="1:22" ht="16.5" customHeight="1" x14ac:dyDescent="0.25">
      <c r="A21" s="23" t="s">
        <v>49</v>
      </c>
      <c r="B21" s="24"/>
      <c r="D21" s="23" t="s">
        <v>49</v>
      </c>
      <c r="E21" s="24"/>
      <c r="G21" s="17" t="s">
        <v>50</v>
      </c>
      <c r="H21" s="18">
        <f>H19-H20</f>
        <v>17625</v>
      </c>
      <c r="I21" s="18">
        <f t="shared" ref="I21:S21" si="20">I19-I20</f>
        <v>17625</v>
      </c>
      <c r="J21" s="18">
        <f t="shared" si="20"/>
        <v>17625</v>
      </c>
      <c r="K21" s="18">
        <f t="shared" si="20"/>
        <v>17625</v>
      </c>
      <c r="L21" s="18">
        <f t="shared" si="20"/>
        <v>17625</v>
      </c>
      <c r="M21" s="18">
        <f t="shared" si="20"/>
        <v>17625</v>
      </c>
      <c r="N21" s="18">
        <f t="shared" si="20"/>
        <v>17625</v>
      </c>
      <c r="O21" s="18">
        <f t="shared" si="20"/>
        <v>17625</v>
      </c>
      <c r="P21" s="18">
        <f t="shared" si="20"/>
        <v>17625</v>
      </c>
      <c r="Q21" s="18">
        <f t="shared" si="20"/>
        <v>17625</v>
      </c>
      <c r="R21" s="18">
        <f t="shared" si="20"/>
        <v>17625</v>
      </c>
      <c r="S21" s="18">
        <f t="shared" si="20"/>
        <v>17625</v>
      </c>
      <c r="U21" s="5">
        <f>SUM(H21:S21)</f>
        <v>211500</v>
      </c>
    </row>
    <row r="22" spans="1:22" x14ac:dyDescent="0.25">
      <c r="A22" s="3" t="s">
        <v>51</v>
      </c>
      <c r="B22" s="15">
        <f>B2*0.06</f>
        <v>10.008000000000001</v>
      </c>
      <c r="D22" s="3" t="s">
        <v>51</v>
      </c>
      <c r="E22" s="15">
        <f>E2*0.06</f>
        <v>12.941999999999998</v>
      </c>
      <c r="J22" s="19"/>
      <c r="K22" s="19"/>
      <c r="O22" s="19"/>
    </row>
    <row r="23" spans="1:22" x14ac:dyDescent="0.25">
      <c r="A23" s="3" t="s">
        <v>52</v>
      </c>
      <c r="B23" s="15">
        <f>B4/10</f>
        <v>500.4</v>
      </c>
      <c r="D23" s="3" t="s">
        <v>52</v>
      </c>
      <c r="E23" s="15">
        <f>E4/10</f>
        <v>647.1</v>
      </c>
      <c r="J23" s="19"/>
      <c r="K23" s="19"/>
      <c r="O23" s="19"/>
    </row>
    <row r="24" spans="1:22" x14ac:dyDescent="0.25">
      <c r="A24" s="3" t="s">
        <v>53</v>
      </c>
      <c r="B24" s="15">
        <f>B4*0.02</f>
        <v>100.08</v>
      </c>
      <c r="D24" s="3" t="s">
        <v>53</v>
      </c>
      <c r="E24" s="15">
        <f>E4*0.02</f>
        <v>129.42000000000002</v>
      </c>
    </row>
    <row r="25" spans="1:22" x14ac:dyDescent="0.25">
      <c r="A25" s="3" t="s">
        <v>54</v>
      </c>
      <c r="B25" s="15">
        <f>B4*0.3</f>
        <v>1501.2</v>
      </c>
      <c r="D25" s="3" t="s">
        <v>54</v>
      </c>
      <c r="E25" s="15">
        <f>E4*0.3</f>
        <v>1941.3</v>
      </c>
    </row>
    <row r="27" spans="1:22" ht="16.5" customHeight="1" x14ac:dyDescent="0.25">
      <c r="A27" s="23" t="s">
        <v>55</v>
      </c>
      <c r="B27" s="24"/>
      <c r="D27" s="23" t="s">
        <v>55</v>
      </c>
      <c r="E27" s="24"/>
    </row>
    <row r="28" spans="1:22" x14ac:dyDescent="0.25">
      <c r="A28" s="3" t="s">
        <v>51</v>
      </c>
      <c r="B28" s="15">
        <v>34</v>
      </c>
      <c r="D28" s="3" t="s">
        <v>51</v>
      </c>
      <c r="E28" s="15">
        <v>51</v>
      </c>
    </row>
    <row r="29" spans="1:22" x14ac:dyDescent="0.25">
      <c r="A29" s="3" t="s">
        <v>56</v>
      </c>
      <c r="B29" s="15">
        <v>17</v>
      </c>
      <c r="D29" s="3" t="s">
        <v>56</v>
      </c>
      <c r="E29" s="15">
        <v>25.5</v>
      </c>
    </row>
  </sheetData>
  <mergeCells count="10">
    <mergeCell ref="A21:B21"/>
    <mergeCell ref="D21:E21"/>
    <mergeCell ref="A27:B27"/>
    <mergeCell ref="D27:E27"/>
    <mergeCell ref="A1:B1"/>
    <mergeCell ref="D1:E1"/>
    <mergeCell ref="A7:B7"/>
    <mergeCell ref="D7:E7"/>
    <mergeCell ref="A16:B16"/>
    <mergeCell ref="D16:E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3</vt:i4>
      </vt:variant>
    </vt:vector>
  </HeadingPairs>
  <TitlesOfParts>
    <vt:vector size="3" baseType="lpstr">
      <vt:lpstr>Normal</vt:lpstr>
      <vt:lpstr>Emekli</vt:lpstr>
      <vt:lpstr>Diğer Ücretli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Osman Şenay</dc:creator>
  <cp:lastModifiedBy>Osman Şenay</cp:lastModifiedBy>
  <dcterms:created xsi:type="dcterms:W3CDTF">2015-06-05T18:19:34Z</dcterms:created>
  <dcterms:modified xsi:type="dcterms:W3CDTF">2022-07-13T19:54:39Z</dcterms:modified>
</cp:coreProperties>
</file>